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IAssess\Files for Web\"/>
    </mc:Choice>
  </mc:AlternateContent>
  <bookViews>
    <workbookView xWindow="6570" yWindow="-120" windowWidth="8925" windowHeight="8700"/>
  </bookViews>
  <sheets>
    <sheet name="Centers" sheetId="3" r:id="rId1"/>
  </sheets>
  <calcPr calcId="162913"/>
</workbook>
</file>

<file path=xl/calcChain.xml><?xml version="1.0" encoding="utf-8"?>
<calcChain xmlns="http://schemas.openxmlformats.org/spreadsheetml/2006/main">
  <c r="Q179" i="3" l="1"/>
  <c r="Q173" i="3"/>
  <c r="Q172" i="3"/>
  <c r="Q171" i="3"/>
  <c r="Q170" i="3"/>
  <c r="Q164" i="3"/>
  <c r="Q163" i="3"/>
  <c r="Q162" i="3"/>
  <c r="Q161" i="3"/>
  <c r="Q160" i="3"/>
  <c r="Q159" i="3"/>
  <c r="Q158" i="3"/>
  <c r="Q157" i="3"/>
  <c r="Q165" i="3" s="1"/>
  <c r="Q156" i="3"/>
  <c r="Q155" i="3"/>
  <c r="Q149" i="3"/>
  <c r="Q148" i="3"/>
  <c r="Q142" i="3"/>
  <c r="Q141" i="3"/>
  <c r="Q136" i="3"/>
  <c r="Q135" i="3"/>
  <c r="Q134" i="3"/>
  <c r="Q133" i="3"/>
  <c r="Q132" i="3"/>
  <c r="Q131" i="3"/>
  <c r="Q130" i="3"/>
  <c r="Q128" i="3"/>
  <c r="Q127" i="3"/>
  <c r="Q126" i="3"/>
  <c r="Q125" i="3"/>
  <c r="Q124" i="3"/>
  <c r="Q123" i="3"/>
  <c r="Q122" i="3"/>
  <c r="Q120" i="3"/>
  <c r="Q119" i="3"/>
  <c r="Q118" i="3"/>
  <c r="Q116" i="3"/>
  <c r="Q115" i="3"/>
  <c r="Q114" i="3"/>
  <c r="Q113" i="3"/>
  <c r="Q112" i="3"/>
  <c r="Q111" i="3"/>
  <c r="Q110" i="3"/>
  <c r="Q109" i="3"/>
  <c r="Q108" i="3"/>
  <c r="Q143" i="3" s="1"/>
  <c r="Q102" i="3"/>
  <c r="Q101" i="3"/>
  <c r="Q100" i="3"/>
  <c r="Q99" i="3"/>
  <c r="Q98" i="3"/>
  <c r="Q97" i="3"/>
  <c r="Q91" i="3"/>
  <c r="Q90" i="3"/>
  <c r="Q89" i="3"/>
  <c r="Q88" i="3"/>
  <c r="Q92" i="3" s="1"/>
  <c r="Q87" i="3"/>
  <c r="Q81" i="3"/>
  <c r="Q80" i="3"/>
  <c r="Q79" i="3"/>
  <c r="Q78" i="3"/>
  <c r="Q77" i="3"/>
  <c r="Q76" i="3"/>
  <c r="Q74" i="3"/>
  <c r="Q73" i="3"/>
  <c r="Q82" i="3" s="1"/>
  <c r="Q72" i="3"/>
  <c r="Q66" i="3"/>
  <c r="Q65" i="3"/>
  <c r="Q64" i="3"/>
  <c r="Q63" i="3"/>
  <c r="Q62" i="3"/>
  <c r="Q55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2" i="3"/>
  <c r="Q31" i="3"/>
  <c r="Q29" i="3"/>
  <c r="Q28" i="3"/>
  <c r="Q27" i="3"/>
  <c r="Q26" i="3"/>
  <c r="Q25" i="3"/>
  <c r="Q24" i="3"/>
  <c r="Q33" i="3" s="1"/>
  <c r="Q23" i="3"/>
  <c r="Q17" i="3"/>
  <c r="Q16" i="3"/>
  <c r="Q15" i="3"/>
  <c r="Q14" i="3"/>
  <c r="Q18" i="3" s="1"/>
  <c r="I136" i="3"/>
  <c r="C103" i="3"/>
  <c r="D103" i="3"/>
  <c r="F103" i="3"/>
  <c r="G103" i="3"/>
  <c r="H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E101" i="3"/>
  <c r="C92" i="3"/>
  <c r="D92" i="3"/>
  <c r="F92" i="3"/>
  <c r="G92" i="3"/>
  <c r="H92" i="3"/>
  <c r="J92" i="3"/>
  <c r="K92" i="3"/>
  <c r="L92" i="3"/>
  <c r="O92" i="3"/>
  <c r="P92" i="3"/>
  <c r="R92" i="3"/>
  <c r="S92" i="3"/>
  <c r="T92" i="3"/>
  <c r="W92" i="3"/>
  <c r="X92" i="3"/>
  <c r="AA92" i="3"/>
  <c r="AB92" i="3"/>
  <c r="AE92" i="3"/>
  <c r="AF92" i="3"/>
  <c r="AI92" i="3"/>
  <c r="AJ92" i="3"/>
  <c r="AM92" i="3"/>
  <c r="AN92" i="3"/>
  <c r="AQ92" i="3"/>
  <c r="AR92" i="3"/>
  <c r="AU92" i="3"/>
  <c r="AV92" i="3"/>
  <c r="AY92" i="3"/>
  <c r="AZ92" i="3"/>
  <c r="BC92" i="3"/>
  <c r="BD92" i="3"/>
  <c r="C67" i="3"/>
  <c r="D67" i="3"/>
  <c r="F67" i="3"/>
  <c r="G67" i="3"/>
  <c r="H67" i="3"/>
  <c r="J67" i="3"/>
  <c r="K67" i="3"/>
  <c r="L67" i="3"/>
  <c r="O67" i="3"/>
  <c r="P67" i="3"/>
  <c r="R67" i="3"/>
  <c r="R68" i="3" s="1"/>
  <c r="S67" i="3"/>
  <c r="T67" i="3"/>
  <c r="W67" i="3"/>
  <c r="X67" i="3"/>
  <c r="AA67" i="3"/>
  <c r="AB67" i="3"/>
  <c r="AE67" i="3"/>
  <c r="AF67" i="3"/>
  <c r="AI67" i="3"/>
  <c r="AJ67" i="3"/>
  <c r="AM67" i="3"/>
  <c r="AN67" i="3"/>
  <c r="AQ67" i="3"/>
  <c r="AR67" i="3"/>
  <c r="AU67" i="3"/>
  <c r="AV67" i="3"/>
  <c r="AY67" i="3"/>
  <c r="AZ67" i="3"/>
  <c r="BC67" i="3"/>
  <c r="BD67" i="3"/>
  <c r="E24" i="3"/>
  <c r="C18" i="3"/>
  <c r="D18" i="3"/>
  <c r="F18" i="3"/>
  <c r="G18" i="3"/>
  <c r="H18" i="3"/>
  <c r="J18" i="3"/>
  <c r="J19" i="3" s="1"/>
  <c r="J180" i="3"/>
  <c r="H180" i="3"/>
  <c r="G180" i="3"/>
  <c r="D180" i="3"/>
  <c r="C180" i="3"/>
  <c r="I179" i="3"/>
  <c r="I180" i="3"/>
  <c r="F180" i="3"/>
  <c r="E179" i="3"/>
  <c r="E180" i="3"/>
  <c r="J174" i="3"/>
  <c r="H174" i="3"/>
  <c r="G174" i="3"/>
  <c r="F174" i="3"/>
  <c r="D174" i="3"/>
  <c r="C174" i="3"/>
  <c r="I173" i="3"/>
  <c r="E173" i="3"/>
  <c r="I172" i="3"/>
  <c r="E172" i="3"/>
  <c r="I171" i="3"/>
  <c r="E171" i="3"/>
  <c r="I170" i="3"/>
  <c r="E170" i="3"/>
  <c r="J165" i="3"/>
  <c r="J166" i="3" s="1"/>
  <c r="H165" i="3"/>
  <c r="G165" i="3"/>
  <c r="D165" i="3"/>
  <c r="C165" i="3"/>
  <c r="I164" i="3"/>
  <c r="E164" i="3"/>
  <c r="I163" i="3"/>
  <c r="E163" i="3"/>
  <c r="I162" i="3"/>
  <c r="E162" i="3"/>
  <c r="I161" i="3"/>
  <c r="E161" i="3"/>
  <c r="I160" i="3"/>
  <c r="E160" i="3"/>
  <c r="I159" i="3"/>
  <c r="E159" i="3"/>
  <c r="I158" i="3"/>
  <c r="E158" i="3"/>
  <c r="I157" i="3"/>
  <c r="E157" i="3"/>
  <c r="I156" i="3"/>
  <c r="E156" i="3"/>
  <c r="I155" i="3"/>
  <c r="F165" i="3"/>
  <c r="E155" i="3"/>
  <c r="J150" i="3"/>
  <c r="H150" i="3"/>
  <c r="G150" i="3"/>
  <c r="D150" i="3"/>
  <c r="C150" i="3"/>
  <c r="I149" i="3"/>
  <c r="E149" i="3"/>
  <c r="E150" i="3"/>
  <c r="I148" i="3"/>
  <c r="F150" i="3"/>
  <c r="J151" i="3"/>
  <c r="J143" i="3"/>
  <c r="H143" i="3"/>
  <c r="G143" i="3"/>
  <c r="D143" i="3"/>
  <c r="C143" i="3"/>
  <c r="I142" i="3"/>
  <c r="E142" i="3"/>
  <c r="I141" i="3"/>
  <c r="E141" i="3"/>
  <c r="E136" i="3"/>
  <c r="I135" i="3"/>
  <c r="E135" i="3"/>
  <c r="I134" i="3"/>
  <c r="E134" i="3"/>
  <c r="I133" i="3"/>
  <c r="E133" i="3"/>
  <c r="I132" i="3"/>
  <c r="E132" i="3"/>
  <c r="I131" i="3"/>
  <c r="E131" i="3"/>
  <c r="I130" i="3"/>
  <c r="E130" i="3"/>
  <c r="I128" i="3"/>
  <c r="E128" i="3"/>
  <c r="I127" i="3"/>
  <c r="E127" i="3"/>
  <c r="I126" i="3"/>
  <c r="E126" i="3"/>
  <c r="I125" i="3"/>
  <c r="E125" i="3"/>
  <c r="I124" i="3"/>
  <c r="E124" i="3"/>
  <c r="I123" i="3"/>
  <c r="E123" i="3"/>
  <c r="I122" i="3"/>
  <c r="E122" i="3"/>
  <c r="I120" i="3"/>
  <c r="E120" i="3"/>
  <c r="I119" i="3"/>
  <c r="E119" i="3"/>
  <c r="I118" i="3"/>
  <c r="E118" i="3"/>
  <c r="I116" i="3"/>
  <c r="E116" i="3"/>
  <c r="I115" i="3"/>
  <c r="E115" i="3"/>
  <c r="I114" i="3"/>
  <c r="E114" i="3"/>
  <c r="I113" i="3"/>
  <c r="E113" i="3"/>
  <c r="I112" i="3"/>
  <c r="E112" i="3"/>
  <c r="I111" i="3"/>
  <c r="E111" i="3"/>
  <c r="I110" i="3"/>
  <c r="I143" i="3" s="1"/>
  <c r="E110" i="3"/>
  <c r="I109" i="3"/>
  <c r="I108" i="3"/>
  <c r="F143" i="3"/>
  <c r="E108" i="3"/>
  <c r="I101" i="3"/>
  <c r="I100" i="3"/>
  <c r="E100" i="3"/>
  <c r="I99" i="3"/>
  <c r="E99" i="3"/>
  <c r="I98" i="3"/>
  <c r="E98" i="3"/>
  <c r="I97" i="3"/>
  <c r="E97" i="3"/>
  <c r="I91" i="3"/>
  <c r="E91" i="3"/>
  <c r="I90" i="3"/>
  <c r="E90" i="3"/>
  <c r="I89" i="3"/>
  <c r="E89" i="3"/>
  <c r="I88" i="3"/>
  <c r="J93" i="3"/>
  <c r="E88" i="3"/>
  <c r="J82" i="3"/>
  <c r="J83" i="3" s="1"/>
  <c r="H82" i="3"/>
  <c r="G82" i="3"/>
  <c r="D82" i="3"/>
  <c r="C82" i="3"/>
  <c r="I81" i="3"/>
  <c r="E81" i="3"/>
  <c r="I80" i="3"/>
  <c r="I82" i="3" s="1"/>
  <c r="E80" i="3"/>
  <c r="I102" i="3"/>
  <c r="E102" i="3"/>
  <c r="E103" i="3"/>
  <c r="I79" i="3"/>
  <c r="E79" i="3"/>
  <c r="I78" i="3"/>
  <c r="E78" i="3"/>
  <c r="I77" i="3"/>
  <c r="E77" i="3"/>
  <c r="I76" i="3"/>
  <c r="E76" i="3"/>
  <c r="I74" i="3"/>
  <c r="E74" i="3"/>
  <c r="I73" i="3"/>
  <c r="E73" i="3"/>
  <c r="I72" i="3"/>
  <c r="F82" i="3"/>
  <c r="E72" i="3"/>
  <c r="I87" i="3"/>
  <c r="E87" i="3"/>
  <c r="I66" i="3"/>
  <c r="E66" i="3"/>
  <c r="I65" i="3"/>
  <c r="E65" i="3"/>
  <c r="I64" i="3"/>
  <c r="E64" i="3"/>
  <c r="I63" i="3"/>
  <c r="I67" i="3" s="1"/>
  <c r="E63" i="3"/>
  <c r="I62" i="3"/>
  <c r="E62" i="3"/>
  <c r="J57" i="3"/>
  <c r="H57" i="3"/>
  <c r="G57" i="3"/>
  <c r="D57" i="3"/>
  <c r="C57" i="3"/>
  <c r="I55" i="3"/>
  <c r="E55" i="3"/>
  <c r="I54" i="3"/>
  <c r="E54" i="3"/>
  <c r="I52" i="3"/>
  <c r="E52" i="3"/>
  <c r="I51" i="3"/>
  <c r="E51" i="3"/>
  <c r="I50" i="3"/>
  <c r="E50" i="3"/>
  <c r="I49" i="3"/>
  <c r="E49" i="3"/>
  <c r="I48" i="3"/>
  <c r="E48" i="3"/>
  <c r="I47" i="3"/>
  <c r="E47" i="3"/>
  <c r="I46" i="3"/>
  <c r="E46" i="3"/>
  <c r="I45" i="3"/>
  <c r="E45" i="3"/>
  <c r="I44" i="3"/>
  <c r="E44" i="3"/>
  <c r="I43" i="3"/>
  <c r="E43" i="3"/>
  <c r="I42" i="3"/>
  <c r="E42" i="3"/>
  <c r="I41" i="3"/>
  <c r="E41" i="3"/>
  <c r="I40" i="3"/>
  <c r="E40" i="3"/>
  <c r="I39" i="3"/>
  <c r="E39" i="3"/>
  <c r="I38" i="3"/>
  <c r="F57" i="3"/>
  <c r="E38" i="3"/>
  <c r="J33" i="3"/>
  <c r="H33" i="3"/>
  <c r="H185" i="3" s="1"/>
  <c r="G33" i="3"/>
  <c r="D33" i="3"/>
  <c r="C33" i="3"/>
  <c r="I32" i="3"/>
  <c r="E32" i="3"/>
  <c r="I31" i="3"/>
  <c r="E31" i="3"/>
  <c r="I29" i="3"/>
  <c r="E29" i="3"/>
  <c r="I28" i="3"/>
  <c r="E28" i="3"/>
  <c r="I27" i="3"/>
  <c r="E27" i="3"/>
  <c r="I26" i="3"/>
  <c r="E26" i="3"/>
  <c r="I25" i="3"/>
  <c r="E25" i="3"/>
  <c r="I24" i="3"/>
  <c r="I23" i="3"/>
  <c r="F33" i="3"/>
  <c r="E23" i="3"/>
  <c r="I17" i="3"/>
  <c r="E17" i="3"/>
  <c r="I16" i="3"/>
  <c r="E16" i="3"/>
  <c r="I15" i="3"/>
  <c r="E15" i="3"/>
  <c r="I14" i="3"/>
  <c r="E14" i="3"/>
  <c r="J9" i="3"/>
  <c r="H9" i="3"/>
  <c r="G9" i="3"/>
  <c r="D9" i="3"/>
  <c r="C9" i="3"/>
  <c r="I8" i="3"/>
  <c r="E8" i="3"/>
  <c r="I7" i="3"/>
  <c r="E7" i="3"/>
  <c r="I6" i="3"/>
  <c r="E6" i="3"/>
  <c r="I5" i="3"/>
  <c r="F9" i="3"/>
  <c r="E5" i="3"/>
  <c r="N171" i="3"/>
  <c r="BD174" i="3"/>
  <c r="BC174" i="3"/>
  <c r="AZ174" i="3"/>
  <c r="AY174" i="3"/>
  <c r="AV174" i="3"/>
  <c r="AU174" i="3"/>
  <c r="AR174" i="3"/>
  <c r="AQ174" i="3"/>
  <c r="AN174" i="3"/>
  <c r="AM174" i="3"/>
  <c r="AJ174" i="3"/>
  <c r="AI174" i="3"/>
  <c r="AF174" i="3"/>
  <c r="AE174" i="3"/>
  <c r="AB174" i="3"/>
  <c r="AA174" i="3"/>
  <c r="X174" i="3"/>
  <c r="W174" i="3"/>
  <c r="T174" i="3"/>
  <c r="S174" i="3"/>
  <c r="R174" i="3"/>
  <c r="P174" i="3"/>
  <c r="O174" i="3"/>
  <c r="L174" i="3"/>
  <c r="K174" i="3"/>
  <c r="AX171" i="3"/>
  <c r="AT171" i="3"/>
  <c r="AP171" i="3"/>
  <c r="AL171" i="3"/>
  <c r="BF171" i="3"/>
  <c r="BB171" i="3"/>
  <c r="AH171" i="3"/>
  <c r="AD171" i="3"/>
  <c r="Z171" i="3"/>
  <c r="V171" i="3"/>
  <c r="BF172" i="3"/>
  <c r="BB172" i="3"/>
  <c r="AX172" i="3"/>
  <c r="AT172" i="3"/>
  <c r="AP172" i="3"/>
  <c r="AL172" i="3"/>
  <c r="AH172" i="3"/>
  <c r="AD172" i="3"/>
  <c r="Z172" i="3"/>
  <c r="V172" i="3"/>
  <c r="BF173" i="3"/>
  <c r="BB173" i="3"/>
  <c r="AX173" i="3"/>
  <c r="AT173" i="3"/>
  <c r="AP173" i="3"/>
  <c r="AH173" i="3"/>
  <c r="Z173" i="3"/>
  <c r="N173" i="3"/>
  <c r="AP170" i="3"/>
  <c r="AH170" i="3"/>
  <c r="Z170" i="3"/>
  <c r="Z174" i="3"/>
  <c r="AD170" i="3"/>
  <c r="V170" i="3"/>
  <c r="N170" i="3"/>
  <c r="N42" i="3"/>
  <c r="N164" i="3"/>
  <c r="N163" i="3"/>
  <c r="N160" i="3"/>
  <c r="N159" i="3"/>
  <c r="N158" i="3"/>
  <c r="N157" i="3"/>
  <c r="N156" i="3"/>
  <c r="N155" i="3"/>
  <c r="N149" i="3"/>
  <c r="N148" i="3"/>
  <c r="N142" i="3"/>
  <c r="N136" i="3"/>
  <c r="N135" i="3"/>
  <c r="N133" i="3"/>
  <c r="N131" i="3"/>
  <c r="N130" i="3"/>
  <c r="N127" i="3"/>
  <c r="N126" i="3"/>
  <c r="N123" i="3"/>
  <c r="N120" i="3"/>
  <c r="N118" i="3"/>
  <c r="N116" i="3"/>
  <c r="N114" i="3"/>
  <c r="N113" i="3"/>
  <c r="N112" i="3"/>
  <c r="N111" i="3"/>
  <c r="N110" i="3"/>
  <c r="N108" i="3"/>
  <c r="N16" i="3"/>
  <c r="N15" i="3"/>
  <c r="N101" i="3"/>
  <c r="N100" i="3"/>
  <c r="N99" i="3"/>
  <c r="N97" i="3"/>
  <c r="N90" i="3"/>
  <c r="N89" i="3"/>
  <c r="N88" i="3"/>
  <c r="N81" i="3"/>
  <c r="N102" i="3"/>
  <c r="N79" i="3"/>
  <c r="N74" i="3"/>
  <c r="N72" i="3"/>
  <c r="N66" i="3"/>
  <c r="N65" i="3"/>
  <c r="N63" i="3"/>
  <c r="N52" i="3"/>
  <c r="N50" i="3"/>
  <c r="N47" i="3"/>
  <c r="N46" i="3"/>
  <c r="N45" i="3"/>
  <c r="N44" i="3"/>
  <c r="N43" i="3"/>
  <c r="N41" i="3"/>
  <c r="N40" i="3"/>
  <c r="N38" i="3"/>
  <c r="N29" i="3"/>
  <c r="N28" i="3"/>
  <c r="N26" i="3"/>
  <c r="N25" i="3"/>
  <c r="N24" i="3"/>
  <c r="N23" i="3"/>
  <c r="N8" i="3"/>
  <c r="N6" i="3"/>
  <c r="N5" i="3"/>
  <c r="N179" i="3"/>
  <c r="N180" i="3"/>
  <c r="R181" i="3"/>
  <c r="AH179" i="3"/>
  <c r="AH180" i="3"/>
  <c r="AK179" i="3"/>
  <c r="AK180" i="3"/>
  <c r="AL101" i="3"/>
  <c r="AX179" i="3"/>
  <c r="AX180" i="3"/>
  <c r="AT179" i="3"/>
  <c r="AT180" i="3"/>
  <c r="AT137" i="3"/>
  <c r="AS137" i="3"/>
  <c r="AT139" i="3"/>
  <c r="AS139" i="3"/>
  <c r="BB117" i="3"/>
  <c r="BA117" i="3"/>
  <c r="BB179" i="3"/>
  <c r="BB180" i="3"/>
  <c r="BB155" i="3"/>
  <c r="BB79" i="3"/>
  <c r="Z127" i="3"/>
  <c r="Y127" i="3"/>
  <c r="Z101" i="3"/>
  <c r="Y101" i="3"/>
  <c r="Z16" i="3"/>
  <c r="Y16" i="3"/>
  <c r="Z15" i="3"/>
  <c r="V127" i="3"/>
  <c r="U127" i="3"/>
  <c r="V101" i="3"/>
  <c r="U101" i="3"/>
  <c r="V16" i="3"/>
  <c r="U16" i="3"/>
  <c r="V15" i="3"/>
  <c r="AH127" i="3"/>
  <c r="AG127" i="3"/>
  <c r="AH101" i="3"/>
  <c r="AG101" i="3"/>
  <c r="AD101" i="3"/>
  <c r="AC101" i="3"/>
  <c r="AH16" i="3"/>
  <c r="AG16" i="3"/>
  <c r="AG17" i="3"/>
  <c r="AH15" i="3"/>
  <c r="AD127" i="3"/>
  <c r="AC127" i="3"/>
  <c r="AD16" i="3"/>
  <c r="AC16" i="3"/>
  <c r="AD15" i="3"/>
  <c r="AP127" i="3"/>
  <c r="AO127" i="3"/>
  <c r="AP101" i="3"/>
  <c r="AO101" i="3"/>
  <c r="AP16" i="3"/>
  <c r="AO16" i="3"/>
  <c r="AP15" i="3"/>
  <c r="AL127" i="3"/>
  <c r="AK127" i="3"/>
  <c r="AK101" i="3"/>
  <c r="AL16" i="3"/>
  <c r="AK16" i="3"/>
  <c r="AL15" i="3"/>
  <c r="AX127" i="3"/>
  <c r="AW127" i="3"/>
  <c r="AX101" i="3"/>
  <c r="AW101" i="3"/>
  <c r="AX16" i="3"/>
  <c r="AW16" i="3"/>
  <c r="AW17" i="3"/>
  <c r="AX15" i="3"/>
  <c r="AT127" i="3"/>
  <c r="AS127" i="3"/>
  <c r="AT101" i="3"/>
  <c r="AS101" i="3"/>
  <c r="AT16" i="3"/>
  <c r="AS16" i="3"/>
  <c r="AT15" i="3"/>
  <c r="BB127" i="3"/>
  <c r="BA127" i="3"/>
  <c r="BB101" i="3"/>
  <c r="BA101" i="3"/>
  <c r="BF101" i="3"/>
  <c r="BE101" i="3"/>
  <c r="BF127" i="3"/>
  <c r="BE127" i="3"/>
  <c r="BD165" i="3"/>
  <c r="BC165" i="3"/>
  <c r="AZ165" i="3"/>
  <c r="AY165" i="3"/>
  <c r="AV165" i="3"/>
  <c r="AU165" i="3"/>
  <c r="AR165" i="3"/>
  <c r="AQ165" i="3"/>
  <c r="AN165" i="3"/>
  <c r="AM165" i="3"/>
  <c r="AJ165" i="3"/>
  <c r="AI165" i="3"/>
  <c r="AF165" i="3"/>
  <c r="AE165" i="3"/>
  <c r="AB165" i="3"/>
  <c r="AA165" i="3"/>
  <c r="X165" i="3"/>
  <c r="W165" i="3"/>
  <c r="T165" i="3"/>
  <c r="S165" i="3"/>
  <c r="R165" i="3"/>
  <c r="P165" i="3"/>
  <c r="O165" i="3"/>
  <c r="L165" i="3"/>
  <c r="K165" i="3"/>
  <c r="N161" i="3"/>
  <c r="BD150" i="3"/>
  <c r="BC150" i="3"/>
  <c r="AZ150" i="3"/>
  <c r="AY150" i="3"/>
  <c r="AV150" i="3"/>
  <c r="AU150" i="3"/>
  <c r="AR150" i="3"/>
  <c r="AQ150" i="3"/>
  <c r="AN150" i="3"/>
  <c r="AM150" i="3"/>
  <c r="AJ150" i="3"/>
  <c r="AI150" i="3"/>
  <c r="AF150" i="3"/>
  <c r="AE150" i="3"/>
  <c r="AB150" i="3"/>
  <c r="AA150" i="3"/>
  <c r="X150" i="3"/>
  <c r="W150" i="3"/>
  <c r="T150" i="3"/>
  <c r="S150" i="3"/>
  <c r="R150" i="3"/>
  <c r="P150" i="3"/>
  <c r="O150" i="3"/>
  <c r="L150" i="3"/>
  <c r="K150" i="3"/>
  <c r="BD143" i="3"/>
  <c r="BC143" i="3"/>
  <c r="AZ143" i="3"/>
  <c r="AY143" i="3"/>
  <c r="AV143" i="3"/>
  <c r="AU143" i="3"/>
  <c r="AR143" i="3"/>
  <c r="AQ143" i="3"/>
  <c r="AN143" i="3"/>
  <c r="AM143" i="3"/>
  <c r="AJ143" i="3"/>
  <c r="AI143" i="3"/>
  <c r="AF143" i="3"/>
  <c r="AE143" i="3"/>
  <c r="AB143" i="3"/>
  <c r="AA143" i="3"/>
  <c r="X143" i="3"/>
  <c r="W143" i="3"/>
  <c r="T143" i="3"/>
  <c r="S143" i="3"/>
  <c r="R143" i="3"/>
  <c r="R144" i="3" s="1"/>
  <c r="P143" i="3"/>
  <c r="O143" i="3"/>
  <c r="L143" i="3"/>
  <c r="K143" i="3"/>
  <c r="N115" i="3"/>
  <c r="N141" i="3"/>
  <c r="N132" i="3"/>
  <c r="N125" i="3"/>
  <c r="N134" i="3"/>
  <c r="M127" i="3"/>
  <c r="M136" i="3"/>
  <c r="N122" i="3"/>
  <c r="BF16" i="3"/>
  <c r="BE16" i="3"/>
  <c r="BF15" i="3"/>
  <c r="BB16" i="3"/>
  <c r="BA16" i="3"/>
  <c r="BB15" i="3"/>
  <c r="BD18" i="3"/>
  <c r="BC18" i="3"/>
  <c r="AZ18" i="3"/>
  <c r="AY18" i="3"/>
  <c r="AV18" i="3"/>
  <c r="AU18" i="3"/>
  <c r="AR18" i="3"/>
  <c r="AQ18" i="3"/>
  <c r="AN18" i="3"/>
  <c r="AM18" i="3"/>
  <c r="AJ18" i="3"/>
  <c r="AI18" i="3"/>
  <c r="AF18" i="3"/>
  <c r="AE18" i="3"/>
  <c r="AB18" i="3"/>
  <c r="AA18" i="3"/>
  <c r="X18" i="3"/>
  <c r="W18" i="3"/>
  <c r="T18" i="3"/>
  <c r="S18" i="3"/>
  <c r="R18" i="3"/>
  <c r="P18" i="3"/>
  <c r="O18" i="3"/>
  <c r="L18" i="3"/>
  <c r="K18" i="3"/>
  <c r="N17" i="3"/>
  <c r="M16" i="3"/>
  <c r="N14" i="3"/>
  <c r="N98" i="3"/>
  <c r="N91" i="3"/>
  <c r="BD82" i="3"/>
  <c r="BC82" i="3"/>
  <c r="AZ82" i="3"/>
  <c r="AY82" i="3"/>
  <c r="AV82" i="3"/>
  <c r="AU82" i="3"/>
  <c r="AR82" i="3"/>
  <c r="AQ82" i="3"/>
  <c r="AN82" i="3"/>
  <c r="AM82" i="3"/>
  <c r="AJ82" i="3"/>
  <c r="AI82" i="3"/>
  <c r="AF82" i="3"/>
  <c r="AE82" i="3"/>
  <c r="AB82" i="3"/>
  <c r="AA82" i="3"/>
  <c r="X82" i="3"/>
  <c r="W82" i="3"/>
  <c r="T82" i="3"/>
  <c r="S82" i="3"/>
  <c r="R82" i="3"/>
  <c r="P82" i="3"/>
  <c r="O82" i="3"/>
  <c r="L82" i="3"/>
  <c r="K82" i="3"/>
  <c r="N77" i="3"/>
  <c r="N80" i="3"/>
  <c r="N78" i="3"/>
  <c r="N87" i="3"/>
  <c r="N62" i="3"/>
  <c r="N64" i="3"/>
  <c r="M66" i="3"/>
  <c r="BD57" i="3"/>
  <c r="BC57" i="3"/>
  <c r="AZ57" i="3"/>
  <c r="AY57" i="3"/>
  <c r="AV57" i="3"/>
  <c r="AU57" i="3"/>
  <c r="AR57" i="3"/>
  <c r="AQ57" i="3"/>
  <c r="AN57" i="3"/>
  <c r="AM57" i="3"/>
  <c r="AJ57" i="3"/>
  <c r="AI57" i="3"/>
  <c r="AF57" i="3"/>
  <c r="AE57" i="3"/>
  <c r="AB57" i="3"/>
  <c r="AA57" i="3"/>
  <c r="X57" i="3"/>
  <c r="W57" i="3"/>
  <c r="T57" i="3"/>
  <c r="S57" i="3"/>
  <c r="R57" i="3"/>
  <c r="P57" i="3"/>
  <c r="O57" i="3"/>
  <c r="L57" i="3"/>
  <c r="K57" i="3"/>
  <c r="N48" i="3"/>
  <c r="N39" i="3"/>
  <c r="N162" i="3"/>
  <c r="N55" i="3"/>
  <c r="BD33" i="3"/>
  <c r="BC33" i="3"/>
  <c r="AZ33" i="3"/>
  <c r="AY33" i="3"/>
  <c r="AU33" i="3"/>
  <c r="AR33" i="3"/>
  <c r="AQ33" i="3"/>
  <c r="AN33" i="3"/>
  <c r="AM33" i="3"/>
  <c r="AJ33" i="3"/>
  <c r="AI33" i="3"/>
  <c r="AF33" i="3"/>
  <c r="AE33" i="3"/>
  <c r="AB33" i="3"/>
  <c r="AA33" i="3"/>
  <c r="X33" i="3"/>
  <c r="W33" i="3"/>
  <c r="T33" i="3"/>
  <c r="S33" i="3"/>
  <c r="R33" i="3"/>
  <c r="R34" i="3" s="1"/>
  <c r="P33" i="3"/>
  <c r="O33" i="3"/>
  <c r="L33" i="3"/>
  <c r="K33" i="3"/>
  <c r="N32" i="3"/>
  <c r="N31" i="3"/>
  <c r="N27" i="3"/>
  <c r="BD9" i="3"/>
  <c r="BC9" i="3"/>
  <c r="AZ9" i="3"/>
  <c r="AY9" i="3"/>
  <c r="AV9" i="3"/>
  <c r="AU9" i="3"/>
  <c r="AR9" i="3"/>
  <c r="AQ9" i="3"/>
  <c r="AN9" i="3"/>
  <c r="AM9" i="3"/>
  <c r="AJ9" i="3"/>
  <c r="AI9" i="3"/>
  <c r="AF9" i="3"/>
  <c r="AE9" i="3"/>
  <c r="AB9" i="3"/>
  <c r="AA9" i="3"/>
  <c r="X9" i="3"/>
  <c r="W9" i="3"/>
  <c r="T9" i="3"/>
  <c r="S9" i="3"/>
  <c r="R9" i="3"/>
  <c r="P9" i="3"/>
  <c r="O9" i="3"/>
  <c r="L9" i="3"/>
  <c r="K9" i="3"/>
  <c r="BF8" i="3"/>
  <c r="BE8" i="3"/>
  <c r="BB8" i="3"/>
  <c r="BA8" i="3"/>
  <c r="AX8" i="3"/>
  <c r="AW8" i="3"/>
  <c r="AT8" i="3"/>
  <c r="AS8" i="3"/>
  <c r="AP8" i="3"/>
  <c r="AO8" i="3"/>
  <c r="AL8" i="3"/>
  <c r="AK8" i="3"/>
  <c r="AH8" i="3"/>
  <c r="AG8" i="3"/>
  <c r="AD8" i="3"/>
  <c r="AC8" i="3"/>
  <c r="Z8" i="3"/>
  <c r="Y8" i="3"/>
  <c r="V8" i="3"/>
  <c r="U8" i="3"/>
  <c r="M8" i="3"/>
  <c r="N7" i="3"/>
  <c r="Q183" i="3"/>
  <c r="M183" i="3"/>
  <c r="P180" i="3"/>
  <c r="O180" i="3"/>
  <c r="L180" i="3"/>
  <c r="K180" i="3"/>
  <c r="M173" i="3"/>
  <c r="M172" i="3"/>
  <c r="M171" i="3"/>
  <c r="M170" i="3"/>
  <c r="R180" i="3"/>
  <c r="Q180" i="3"/>
  <c r="M179" i="3"/>
  <c r="M180" i="3" s="1"/>
  <c r="M185" i="3" s="1"/>
  <c r="M142" i="3"/>
  <c r="M141" i="3"/>
  <c r="M135" i="3"/>
  <c r="M134" i="3"/>
  <c r="M133" i="3"/>
  <c r="M132" i="3"/>
  <c r="M149" i="3"/>
  <c r="M131" i="3"/>
  <c r="M130" i="3"/>
  <c r="M128" i="3"/>
  <c r="M126" i="3"/>
  <c r="M99" i="3"/>
  <c r="M97" i="3"/>
  <c r="M125" i="3"/>
  <c r="M124" i="3"/>
  <c r="M123" i="3"/>
  <c r="M122" i="3"/>
  <c r="M120" i="3"/>
  <c r="N119" i="3"/>
  <c r="M119" i="3"/>
  <c r="M116" i="3"/>
  <c r="M118" i="3"/>
  <c r="M115" i="3"/>
  <c r="M114" i="3"/>
  <c r="M113" i="3"/>
  <c r="M112" i="3"/>
  <c r="M111" i="3"/>
  <c r="M110" i="3"/>
  <c r="M148" i="3"/>
  <c r="M108" i="3"/>
  <c r="M81" i="3"/>
  <c r="M80" i="3"/>
  <c r="M14" i="3"/>
  <c r="M102" i="3"/>
  <c r="M79" i="3"/>
  <c r="M78" i="3"/>
  <c r="M77" i="3"/>
  <c r="M157" i="3"/>
  <c r="M101" i="3"/>
  <c r="M15" i="3"/>
  <c r="M98" i="3"/>
  <c r="M100" i="3"/>
  <c r="M76" i="3"/>
  <c r="M155" i="3"/>
  <c r="M74" i="3"/>
  <c r="M73" i="3"/>
  <c r="M17" i="3"/>
  <c r="M156" i="3"/>
  <c r="M72" i="3"/>
  <c r="M89" i="3"/>
  <c r="M87" i="3"/>
  <c r="M65" i="3"/>
  <c r="M64" i="3"/>
  <c r="M63" i="3"/>
  <c r="M62" i="3"/>
  <c r="M32" i="3"/>
  <c r="M91" i="3"/>
  <c r="M88" i="3"/>
  <c r="M90" i="3"/>
  <c r="M29" i="3"/>
  <c r="M28" i="3"/>
  <c r="M27" i="3"/>
  <c r="M26" i="3"/>
  <c r="M25" i="3"/>
  <c r="M23" i="3"/>
  <c r="M55" i="3"/>
  <c r="Q53" i="3"/>
  <c r="M53" i="3"/>
  <c r="M52" i="3"/>
  <c r="M31" i="3"/>
  <c r="Q54" i="3"/>
  <c r="M54" i="3"/>
  <c r="M164" i="3"/>
  <c r="M51" i="3"/>
  <c r="M7" i="3"/>
  <c r="M163" i="3"/>
  <c r="M50" i="3"/>
  <c r="M49" i="3"/>
  <c r="M48" i="3"/>
  <c r="M162" i="3"/>
  <c r="M43" i="3"/>
  <c r="M47" i="3"/>
  <c r="M6" i="3"/>
  <c r="M161" i="3"/>
  <c r="M160" i="3"/>
  <c r="M159" i="3"/>
  <c r="M158" i="3"/>
  <c r="M46" i="3"/>
  <c r="M45" i="3"/>
  <c r="M44" i="3"/>
  <c r="M5" i="3"/>
  <c r="M42" i="3"/>
  <c r="M41" i="3"/>
  <c r="M40" i="3"/>
  <c r="M24" i="3"/>
  <c r="M39" i="3"/>
  <c r="M38" i="3"/>
  <c r="Z110" i="3"/>
  <c r="Z141" i="3"/>
  <c r="Z132" i="3"/>
  <c r="Z123" i="3"/>
  <c r="Z81" i="3"/>
  <c r="Z49" i="3"/>
  <c r="Z161" i="3"/>
  <c r="Z63" i="3"/>
  <c r="Z47" i="3"/>
  <c r="Z39" i="3"/>
  <c r="Z148" i="3"/>
  <c r="Z31" i="3"/>
  <c r="Z42" i="3"/>
  <c r="Z102" i="3"/>
  <c r="Z7" i="3"/>
  <c r="Z6" i="3"/>
  <c r="Z160" i="3"/>
  <c r="Z159" i="3"/>
  <c r="Z158" i="3"/>
  <c r="Z98" i="3"/>
  <c r="Z100" i="3"/>
  <c r="Z43" i="3"/>
  <c r="Z46" i="3"/>
  <c r="Z99" i="3"/>
  <c r="Z157" i="3"/>
  <c r="Z162" i="3"/>
  <c r="Z62" i="3"/>
  <c r="Z120" i="3"/>
  <c r="Z38" i="3"/>
  <c r="Z156" i="3"/>
  <c r="Z155" i="3"/>
  <c r="Z65" i="3"/>
  <c r="Z64" i="3"/>
  <c r="Z40" i="3"/>
  <c r="Z41" i="3"/>
  <c r="Z149" i="3"/>
  <c r="Z150" i="3"/>
  <c r="Z108" i="3"/>
  <c r="Z80" i="3"/>
  <c r="Z79" i="3"/>
  <c r="Z142" i="3"/>
  <c r="Z114" i="3"/>
  <c r="Z130" i="3"/>
  <c r="Z78" i="3"/>
  <c r="Z88" i="3"/>
  <c r="Z26" i="3"/>
  <c r="Z90" i="3"/>
  <c r="Z89" i="3"/>
  <c r="Z87" i="3"/>
  <c r="Z116" i="3"/>
  <c r="Z118" i="3"/>
  <c r="Z112" i="3"/>
  <c r="Z135" i="3"/>
  <c r="Z29" i="3"/>
  <c r="Z27" i="3"/>
  <c r="Z28" i="3"/>
  <c r="Z24" i="3"/>
  <c r="Z23" i="3"/>
  <c r="Z25" i="3"/>
  <c r="Z111" i="3"/>
  <c r="Z91" i="3"/>
  <c r="Z122" i="3"/>
  <c r="Z179" i="3"/>
  <c r="Z180" i="3"/>
  <c r="Y179" i="3"/>
  <c r="Z140" i="3"/>
  <c r="Z134" i="3"/>
  <c r="Z133" i="3"/>
  <c r="Z131" i="3"/>
  <c r="Z126" i="3"/>
  <c r="Z97" i="3"/>
  <c r="Z125" i="3"/>
  <c r="Z121" i="3"/>
  <c r="Z119" i="3"/>
  <c r="Z115" i="3"/>
  <c r="Z113" i="3"/>
  <c r="Z109" i="3"/>
  <c r="Z14" i="3"/>
  <c r="Z77" i="3"/>
  <c r="Z74" i="3"/>
  <c r="Y162" i="3"/>
  <c r="Z17" i="3"/>
  <c r="Z72" i="3"/>
  <c r="Z32" i="3"/>
  <c r="Z55" i="3"/>
  <c r="Z52" i="3"/>
  <c r="Z54" i="3"/>
  <c r="Z164" i="3"/>
  <c r="Z51" i="3"/>
  <c r="Z163" i="3"/>
  <c r="Z50" i="3"/>
  <c r="Z48" i="3"/>
  <c r="Y160" i="3"/>
  <c r="Z45" i="3"/>
  <c r="Z44" i="3"/>
  <c r="Z5" i="3"/>
  <c r="V179" i="3"/>
  <c r="V180" i="3"/>
  <c r="V142" i="3"/>
  <c r="V141" i="3"/>
  <c r="V140" i="3"/>
  <c r="V116" i="3"/>
  <c r="V110" i="3"/>
  <c r="V14" i="3"/>
  <c r="V157" i="3"/>
  <c r="V100" i="3"/>
  <c r="V155" i="3"/>
  <c r="V156" i="3"/>
  <c r="V89" i="3"/>
  <c r="V41" i="3"/>
  <c r="V159" i="3"/>
  <c r="V158" i="3"/>
  <c r="V44" i="3"/>
  <c r="V40" i="3"/>
  <c r="Y131" i="3"/>
  <c r="V115" i="3"/>
  <c r="V132" i="3"/>
  <c r="V123" i="3"/>
  <c r="V125" i="3"/>
  <c r="V119" i="3"/>
  <c r="V131" i="3"/>
  <c r="U131" i="3"/>
  <c r="V113" i="3"/>
  <c r="V134" i="3"/>
  <c r="V148" i="3"/>
  <c r="V133" i="3"/>
  <c r="V126" i="3"/>
  <c r="V97" i="3"/>
  <c r="V99" i="3"/>
  <c r="V121" i="3"/>
  <c r="V120" i="3"/>
  <c r="V149" i="3"/>
  <c r="V150" i="3"/>
  <c r="V108" i="3"/>
  <c r="V114" i="3"/>
  <c r="V130" i="3"/>
  <c r="V118" i="3"/>
  <c r="V109" i="3"/>
  <c r="V138" i="3"/>
  <c r="V112" i="3"/>
  <c r="V135" i="3"/>
  <c r="V111" i="3"/>
  <c r="V122" i="3"/>
  <c r="V72" i="3"/>
  <c r="V77" i="3"/>
  <c r="V81" i="3"/>
  <c r="V17" i="3"/>
  <c r="V102" i="3"/>
  <c r="V98" i="3"/>
  <c r="V80" i="3"/>
  <c r="V79" i="3"/>
  <c r="V78" i="3"/>
  <c r="V74" i="3"/>
  <c r="V63" i="3"/>
  <c r="V62" i="3"/>
  <c r="V65" i="3"/>
  <c r="V64" i="3"/>
  <c r="V87" i="3"/>
  <c r="V32" i="3"/>
  <c r="V88" i="3"/>
  <c r="V26" i="3"/>
  <c r="V90" i="3"/>
  <c r="V29" i="3"/>
  <c r="V27" i="3"/>
  <c r="V28" i="3"/>
  <c r="V23" i="3"/>
  <c r="V25" i="3"/>
  <c r="V91" i="3"/>
  <c r="V5" i="3"/>
  <c r="V52" i="3"/>
  <c r="V51" i="3"/>
  <c r="V49" i="3"/>
  <c r="V161" i="3"/>
  <c r="V48" i="3"/>
  <c r="V47" i="3"/>
  <c r="V39" i="3"/>
  <c r="V31" i="3"/>
  <c r="V163" i="3"/>
  <c r="V42" i="3"/>
  <c r="V7" i="3"/>
  <c r="V6" i="3"/>
  <c r="V160" i="3"/>
  <c r="U160" i="3"/>
  <c r="V45" i="3"/>
  <c r="V43" i="3"/>
  <c r="V46" i="3"/>
  <c r="V38" i="3"/>
  <c r="V55" i="3"/>
  <c r="V24" i="3"/>
  <c r="V164" i="3"/>
  <c r="V50" i="3"/>
  <c r="Y183" i="3"/>
  <c r="U183" i="3"/>
  <c r="X180" i="3"/>
  <c r="W180" i="3"/>
  <c r="T180" i="3"/>
  <c r="S180" i="3"/>
  <c r="Y173" i="3"/>
  <c r="U173" i="3"/>
  <c r="Y172" i="3"/>
  <c r="Y174" i="3"/>
  <c r="U172" i="3"/>
  <c r="Y171" i="3"/>
  <c r="U171" i="3"/>
  <c r="U179" i="3"/>
  <c r="U180" i="3"/>
  <c r="Y142" i="3"/>
  <c r="U142" i="3"/>
  <c r="Y141" i="3"/>
  <c r="U141" i="3"/>
  <c r="Y140" i="3"/>
  <c r="U140" i="3"/>
  <c r="Y138" i="3"/>
  <c r="U138" i="3"/>
  <c r="Y135" i="3"/>
  <c r="U135" i="3"/>
  <c r="Y134" i="3"/>
  <c r="U134" i="3"/>
  <c r="Y133" i="3"/>
  <c r="U133" i="3"/>
  <c r="Y132" i="3"/>
  <c r="U132" i="3"/>
  <c r="Y149" i="3"/>
  <c r="U149" i="3"/>
  <c r="Y130" i="3"/>
  <c r="U130" i="3"/>
  <c r="Y128" i="3"/>
  <c r="U128" i="3"/>
  <c r="Y126" i="3"/>
  <c r="U126" i="3"/>
  <c r="Y99" i="3"/>
  <c r="U99" i="3"/>
  <c r="Y97" i="3"/>
  <c r="U97" i="3"/>
  <c r="Y125" i="3"/>
  <c r="U125" i="3"/>
  <c r="Y124" i="3"/>
  <c r="U124" i="3"/>
  <c r="Y123" i="3"/>
  <c r="U123" i="3"/>
  <c r="Y122" i="3"/>
  <c r="U122" i="3"/>
  <c r="Y121" i="3"/>
  <c r="U121" i="3"/>
  <c r="Y120" i="3"/>
  <c r="U120" i="3"/>
  <c r="Y119" i="3"/>
  <c r="U119" i="3"/>
  <c r="Y116" i="3"/>
  <c r="U116" i="3"/>
  <c r="Y118" i="3"/>
  <c r="U118" i="3"/>
  <c r="Y115" i="3"/>
  <c r="U115" i="3"/>
  <c r="Y114" i="3"/>
  <c r="U114" i="3"/>
  <c r="Y113" i="3"/>
  <c r="U113" i="3"/>
  <c r="Y112" i="3"/>
  <c r="U112" i="3"/>
  <c r="Y111" i="3"/>
  <c r="U111" i="3"/>
  <c r="Y110" i="3"/>
  <c r="U110" i="3"/>
  <c r="Y109" i="3"/>
  <c r="U109" i="3"/>
  <c r="Y148" i="3"/>
  <c r="Y150" i="3"/>
  <c r="U148" i="3"/>
  <c r="Y108" i="3"/>
  <c r="U108" i="3"/>
  <c r="Y81" i="3"/>
  <c r="U81" i="3"/>
  <c r="Y80" i="3"/>
  <c r="U80" i="3"/>
  <c r="Y14" i="3"/>
  <c r="U14" i="3"/>
  <c r="Y102" i="3"/>
  <c r="U102" i="3"/>
  <c r="Y79" i="3"/>
  <c r="U79" i="3"/>
  <c r="Y78" i="3"/>
  <c r="U78" i="3"/>
  <c r="Y77" i="3"/>
  <c r="U77" i="3"/>
  <c r="Y157" i="3"/>
  <c r="U157" i="3"/>
  <c r="Y15" i="3"/>
  <c r="U15" i="3"/>
  <c r="Y98" i="3"/>
  <c r="U98" i="3"/>
  <c r="Y100" i="3"/>
  <c r="U100" i="3"/>
  <c r="Y76" i="3"/>
  <c r="U76" i="3"/>
  <c r="Y155" i="3"/>
  <c r="U155" i="3"/>
  <c r="Y74" i="3"/>
  <c r="U74" i="3"/>
  <c r="U162" i="3"/>
  <c r="Y17" i="3"/>
  <c r="U17" i="3"/>
  <c r="Y156" i="3"/>
  <c r="U156" i="3"/>
  <c r="Y72" i="3"/>
  <c r="U72" i="3"/>
  <c r="Y89" i="3"/>
  <c r="U89" i="3"/>
  <c r="Y87" i="3"/>
  <c r="U87" i="3"/>
  <c r="Y65" i="3"/>
  <c r="U65" i="3"/>
  <c r="Y64" i="3"/>
  <c r="U64" i="3"/>
  <c r="Y63" i="3"/>
  <c r="U63" i="3"/>
  <c r="Y62" i="3"/>
  <c r="U62" i="3"/>
  <c r="Y32" i="3"/>
  <c r="U32" i="3"/>
  <c r="Y91" i="3"/>
  <c r="U91" i="3"/>
  <c r="Y88" i="3"/>
  <c r="U88" i="3"/>
  <c r="Y90" i="3"/>
  <c r="U90" i="3"/>
  <c r="Y29" i="3"/>
  <c r="U29" i="3"/>
  <c r="Y28" i="3"/>
  <c r="U28" i="3"/>
  <c r="Y27" i="3"/>
  <c r="U27" i="3"/>
  <c r="Y26" i="3"/>
  <c r="U26" i="3"/>
  <c r="Y25" i="3"/>
  <c r="U25" i="3"/>
  <c r="Y23" i="3"/>
  <c r="U23" i="3"/>
  <c r="Y55" i="3"/>
  <c r="U55" i="3"/>
  <c r="Y53" i="3"/>
  <c r="U53" i="3"/>
  <c r="Y52" i="3"/>
  <c r="U52" i="3"/>
  <c r="Y31" i="3"/>
  <c r="U31" i="3"/>
  <c r="Y54" i="3"/>
  <c r="U54" i="3"/>
  <c r="Y164" i="3"/>
  <c r="U164" i="3"/>
  <c r="Y51" i="3"/>
  <c r="U51" i="3"/>
  <c r="Y7" i="3"/>
  <c r="U7" i="3"/>
  <c r="Y163" i="3"/>
  <c r="U163" i="3"/>
  <c r="Y50" i="3"/>
  <c r="U50" i="3"/>
  <c r="Y49" i="3"/>
  <c r="U49" i="3"/>
  <c r="Y48" i="3"/>
  <c r="U48" i="3"/>
  <c r="Y43" i="3"/>
  <c r="U43" i="3"/>
  <c r="Y47" i="3"/>
  <c r="U47" i="3"/>
  <c r="Y6" i="3"/>
  <c r="U6" i="3"/>
  <c r="Y161" i="3"/>
  <c r="U161" i="3"/>
  <c r="Y159" i="3"/>
  <c r="U159" i="3"/>
  <c r="Y158" i="3"/>
  <c r="U158" i="3"/>
  <c r="Y46" i="3"/>
  <c r="U46" i="3"/>
  <c r="Y45" i="3"/>
  <c r="U45" i="3"/>
  <c r="Y44" i="3"/>
  <c r="U44" i="3"/>
  <c r="Y5" i="3"/>
  <c r="U5" i="3"/>
  <c r="Y42" i="3"/>
  <c r="U42" i="3"/>
  <c r="Y41" i="3"/>
  <c r="U41" i="3"/>
  <c r="Y40" i="3"/>
  <c r="U40" i="3"/>
  <c r="Y24" i="3"/>
  <c r="U24" i="3"/>
  <c r="Y39" i="3"/>
  <c r="U39" i="3"/>
  <c r="U57" i="3"/>
  <c r="Y38" i="3"/>
  <c r="U38" i="3"/>
  <c r="AH142" i="3"/>
  <c r="AH141" i="3"/>
  <c r="AH133" i="3"/>
  <c r="AH149" i="3"/>
  <c r="AH130" i="3"/>
  <c r="AH99" i="3"/>
  <c r="AH125" i="3"/>
  <c r="AH120" i="3"/>
  <c r="AH119" i="3"/>
  <c r="AH116" i="3"/>
  <c r="AH118" i="3"/>
  <c r="AH113" i="3"/>
  <c r="AH112" i="3"/>
  <c r="AH110" i="3"/>
  <c r="AH148" i="3"/>
  <c r="AH108" i="3"/>
  <c r="AH80" i="3"/>
  <c r="AH102" i="3"/>
  <c r="AH79" i="3"/>
  <c r="AH78" i="3"/>
  <c r="AH157" i="3"/>
  <c r="AH98" i="3"/>
  <c r="AH100" i="3"/>
  <c r="AH155" i="3"/>
  <c r="AH17" i="3"/>
  <c r="AH156" i="3"/>
  <c r="AH72" i="3"/>
  <c r="AH89" i="3"/>
  <c r="AH87" i="3"/>
  <c r="AH65" i="3"/>
  <c r="AH64" i="3"/>
  <c r="AH63" i="3"/>
  <c r="AH62" i="3"/>
  <c r="AH91" i="3"/>
  <c r="AH88" i="3"/>
  <c r="AH90" i="3"/>
  <c r="AH28" i="3"/>
  <c r="AH26" i="3"/>
  <c r="AH25" i="3"/>
  <c r="AH23" i="3"/>
  <c r="AH52" i="3"/>
  <c r="AH164" i="3"/>
  <c r="AH51" i="3"/>
  <c r="AH7" i="3"/>
  <c r="AH50" i="3"/>
  <c r="AH43" i="3"/>
  <c r="AH47" i="3"/>
  <c r="AH6" i="3"/>
  <c r="AH159" i="3"/>
  <c r="AH158" i="3"/>
  <c r="AH46" i="3"/>
  <c r="AH45" i="3"/>
  <c r="AH44" i="3"/>
  <c r="AH42" i="3"/>
  <c r="AH41" i="3"/>
  <c r="AH40" i="3"/>
  <c r="AH38" i="3"/>
  <c r="AH140" i="3"/>
  <c r="AH138" i="3"/>
  <c r="AH135" i="3"/>
  <c r="AH134" i="3"/>
  <c r="AH132" i="3"/>
  <c r="AH128" i="3"/>
  <c r="AH126" i="3"/>
  <c r="AH97" i="3"/>
  <c r="AH123" i="3"/>
  <c r="AH122" i="3"/>
  <c r="AH114" i="3"/>
  <c r="AH111" i="3"/>
  <c r="AH109" i="3"/>
  <c r="AH81" i="3"/>
  <c r="AH14" i="3"/>
  <c r="AH77" i="3"/>
  <c r="AH74" i="3"/>
  <c r="AH162" i="3"/>
  <c r="AH32" i="3"/>
  <c r="AH29" i="3"/>
  <c r="AH27" i="3"/>
  <c r="AH55" i="3"/>
  <c r="AH53" i="3"/>
  <c r="AH31" i="3"/>
  <c r="AH54" i="3"/>
  <c r="AH163" i="3"/>
  <c r="AH48" i="3"/>
  <c r="AH49" i="3"/>
  <c r="AH161" i="3"/>
  <c r="AH5" i="3"/>
  <c r="AH24" i="3"/>
  <c r="AH39" i="3"/>
  <c r="AD179" i="3"/>
  <c r="AD180" i="3"/>
  <c r="AD142" i="3"/>
  <c r="AD141" i="3"/>
  <c r="AD149" i="3"/>
  <c r="AD150" i="3"/>
  <c r="AD99" i="3"/>
  <c r="AD125" i="3"/>
  <c r="AD123" i="3"/>
  <c r="AD120" i="3"/>
  <c r="AD116" i="3"/>
  <c r="AD118" i="3"/>
  <c r="AD112" i="3"/>
  <c r="AD110" i="3"/>
  <c r="AD148" i="3"/>
  <c r="AD14" i="3"/>
  <c r="AD79" i="3"/>
  <c r="AD78" i="3"/>
  <c r="AD157" i="3"/>
  <c r="AD100" i="3"/>
  <c r="AD155" i="3"/>
  <c r="AD74" i="3"/>
  <c r="AD156" i="3"/>
  <c r="AD72" i="3"/>
  <c r="AD89" i="3"/>
  <c r="AD87" i="3"/>
  <c r="AD65" i="3"/>
  <c r="AD64" i="3"/>
  <c r="AD63" i="3"/>
  <c r="AD62" i="3"/>
  <c r="AD32" i="3"/>
  <c r="AD90" i="3"/>
  <c r="AD29" i="3"/>
  <c r="AD28" i="3"/>
  <c r="AD26" i="3"/>
  <c r="AD25" i="3"/>
  <c r="AD164" i="3"/>
  <c r="AD43" i="3"/>
  <c r="AD47" i="3"/>
  <c r="AD6" i="3"/>
  <c r="AD159" i="3"/>
  <c r="AD158" i="3"/>
  <c r="AD46" i="3"/>
  <c r="AD45" i="3"/>
  <c r="AD42" i="3"/>
  <c r="AD41" i="3"/>
  <c r="AD40" i="3"/>
  <c r="AG48" i="3"/>
  <c r="AD77" i="3"/>
  <c r="AD5" i="3"/>
  <c r="AD115" i="3"/>
  <c r="AD132" i="3"/>
  <c r="AD119" i="3"/>
  <c r="AD81" i="3"/>
  <c r="AD53" i="3"/>
  <c r="AD52" i="3"/>
  <c r="AD51" i="3"/>
  <c r="AD49" i="3"/>
  <c r="AD128" i="3"/>
  <c r="AD113" i="3"/>
  <c r="AD134" i="3"/>
  <c r="AD161" i="3"/>
  <c r="AD48" i="3"/>
  <c r="AC48" i="3"/>
  <c r="AD17" i="3"/>
  <c r="AD39" i="3"/>
  <c r="AD133" i="3"/>
  <c r="AD163" i="3"/>
  <c r="AD102" i="3"/>
  <c r="AD7" i="3"/>
  <c r="AD98" i="3"/>
  <c r="AD126" i="3"/>
  <c r="AD97" i="3"/>
  <c r="AD162" i="3"/>
  <c r="AD121" i="3"/>
  <c r="AD38" i="3"/>
  <c r="AD44" i="3"/>
  <c r="AD55" i="3"/>
  <c r="AD108" i="3"/>
  <c r="AD80" i="3"/>
  <c r="AD114" i="3"/>
  <c r="AD130" i="3"/>
  <c r="AD88" i="3"/>
  <c r="AD140" i="3"/>
  <c r="AD109" i="3"/>
  <c r="AD138" i="3"/>
  <c r="AD135" i="3"/>
  <c r="AD27" i="3"/>
  <c r="AD24" i="3"/>
  <c r="AD122" i="3"/>
  <c r="AD23" i="3"/>
  <c r="AD111" i="3"/>
  <c r="AD91" i="3"/>
  <c r="AD50" i="3"/>
  <c r="AC179" i="3"/>
  <c r="AC180" i="3"/>
  <c r="AG183" i="3"/>
  <c r="AC183" i="3"/>
  <c r="AF180" i="3"/>
  <c r="AE180" i="3"/>
  <c r="AB180" i="3"/>
  <c r="AA180" i="3"/>
  <c r="AG173" i="3"/>
  <c r="AC173" i="3"/>
  <c r="AG172" i="3"/>
  <c r="AC172" i="3"/>
  <c r="AG171" i="3"/>
  <c r="AC171" i="3"/>
  <c r="AG170" i="3"/>
  <c r="AC170" i="3"/>
  <c r="AG179" i="3"/>
  <c r="AG180" i="3"/>
  <c r="AG142" i="3"/>
  <c r="AC142" i="3"/>
  <c r="AG141" i="3"/>
  <c r="AC141" i="3"/>
  <c r="AG140" i="3"/>
  <c r="AC140" i="3"/>
  <c r="AG138" i="3"/>
  <c r="AC138" i="3"/>
  <c r="AG135" i="3"/>
  <c r="AC135" i="3"/>
  <c r="AG134" i="3"/>
  <c r="AC134" i="3"/>
  <c r="AG133" i="3"/>
  <c r="AC133" i="3"/>
  <c r="AG132" i="3"/>
  <c r="AC132" i="3"/>
  <c r="AG149" i="3"/>
  <c r="AC149" i="3"/>
  <c r="AG130" i="3"/>
  <c r="AC130" i="3"/>
  <c r="AG129" i="3"/>
  <c r="AC129" i="3"/>
  <c r="AG128" i="3"/>
  <c r="AC128" i="3"/>
  <c r="AG126" i="3"/>
  <c r="AC126" i="3"/>
  <c r="AG99" i="3"/>
  <c r="AC99" i="3"/>
  <c r="AG97" i="3"/>
  <c r="AC97" i="3"/>
  <c r="AG125" i="3"/>
  <c r="AC125" i="3"/>
  <c r="AG124" i="3"/>
  <c r="AC124" i="3"/>
  <c r="AG123" i="3"/>
  <c r="AC123" i="3"/>
  <c r="AG122" i="3"/>
  <c r="AC122" i="3"/>
  <c r="AG121" i="3"/>
  <c r="AC121" i="3"/>
  <c r="AG120" i="3"/>
  <c r="AC120" i="3"/>
  <c r="AG119" i="3"/>
  <c r="AC119" i="3"/>
  <c r="AG116" i="3"/>
  <c r="AC116" i="3"/>
  <c r="AG118" i="3"/>
  <c r="AC118" i="3"/>
  <c r="AG115" i="3"/>
  <c r="AC115" i="3"/>
  <c r="AG114" i="3"/>
  <c r="AC114" i="3"/>
  <c r="AG113" i="3"/>
  <c r="AC113" i="3"/>
  <c r="AG112" i="3"/>
  <c r="AC112" i="3"/>
  <c r="AG111" i="3"/>
  <c r="AC111" i="3"/>
  <c r="AG110" i="3"/>
  <c r="AC110" i="3"/>
  <c r="AG109" i="3"/>
  <c r="AC109" i="3"/>
  <c r="AG148" i="3"/>
  <c r="AC148" i="3"/>
  <c r="AG108" i="3"/>
  <c r="AC108" i="3"/>
  <c r="AG81" i="3"/>
  <c r="AC81" i="3"/>
  <c r="AG80" i="3"/>
  <c r="AC80" i="3"/>
  <c r="AG14" i="3"/>
  <c r="AC14" i="3"/>
  <c r="AG102" i="3"/>
  <c r="AC102" i="3"/>
  <c r="AG79" i="3"/>
  <c r="AC79" i="3"/>
  <c r="AG78" i="3"/>
  <c r="AC78" i="3"/>
  <c r="AG77" i="3"/>
  <c r="AC77" i="3"/>
  <c r="AG157" i="3"/>
  <c r="AC157" i="3"/>
  <c r="AG15" i="3"/>
  <c r="AC15" i="3"/>
  <c r="AG98" i="3"/>
  <c r="AC98" i="3"/>
  <c r="AG100" i="3"/>
  <c r="AC100" i="3"/>
  <c r="AG76" i="3"/>
  <c r="AC76" i="3"/>
  <c r="AG155" i="3"/>
  <c r="AC155" i="3"/>
  <c r="AG74" i="3"/>
  <c r="AC74" i="3"/>
  <c r="AG162" i="3"/>
  <c r="AC162" i="3"/>
  <c r="AC17" i="3"/>
  <c r="AG156" i="3"/>
  <c r="AC156" i="3"/>
  <c r="AG72" i="3"/>
  <c r="AC72" i="3"/>
  <c r="AG89" i="3"/>
  <c r="AC89" i="3"/>
  <c r="AG87" i="3"/>
  <c r="AC87" i="3"/>
  <c r="AG65" i="3"/>
  <c r="AC65" i="3"/>
  <c r="AG64" i="3"/>
  <c r="AC64" i="3"/>
  <c r="AG63" i="3"/>
  <c r="AC63" i="3"/>
  <c r="AG62" i="3"/>
  <c r="AC62" i="3"/>
  <c r="AG32" i="3"/>
  <c r="AC32" i="3"/>
  <c r="AG91" i="3"/>
  <c r="AC91" i="3"/>
  <c r="AG88" i="3"/>
  <c r="AC88" i="3"/>
  <c r="AG90" i="3"/>
  <c r="AC90" i="3"/>
  <c r="AG29" i="3"/>
  <c r="AC29" i="3"/>
  <c r="AG28" i="3"/>
  <c r="AC28" i="3"/>
  <c r="AG27" i="3"/>
  <c r="AC27" i="3"/>
  <c r="AG26" i="3"/>
  <c r="AC26" i="3"/>
  <c r="AG25" i="3"/>
  <c r="AC25" i="3"/>
  <c r="AG23" i="3"/>
  <c r="AC23" i="3"/>
  <c r="AG55" i="3"/>
  <c r="AC55" i="3"/>
  <c r="AG56" i="3"/>
  <c r="AC56" i="3"/>
  <c r="AG53" i="3"/>
  <c r="AC53" i="3"/>
  <c r="AG52" i="3"/>
  <c r="AC52" i="3"/>
  <c r="AG31" i="3"/>
  <c r="AC31" i="3"/>
  <c r="AG54" i="3"/>
  <c r="AC54" i="3"/>
  <c r="AG164" i="3"/>
  <c r="AC164" i="3"/>
  <c r="AG51" i="3"/>
  <c r="AC51" i="3"/>
  <c r="AG7" i="3"/>
  <c r="AC7" i="3"/>
  <c r="AG163" i="3"/>
  <c r="AC163" i="3"/>
  <c r="AG50" i="3"/>
  <c r="AC50" i="3"/>
  <c r="AG49" i="3"/>
  <c r="AC49" i="3"/>
  <c r="AG43" i="3"/>
  <c r="AC43" i="3"/>
  <c r="AG47" i="3"/>
  <c r="AC47" i="3"/>
  <c r="AG6" i="3"/>
  <c r="AC6" i="3"/>
  <c r="AG161" i="3"/>
  <c r="AC161" i="3"/>
  <c r="AG159" i="3"/>
  <c r="AC159" i="3"/>
  <c r="AG158" i="3"/>
  <c r="AC158" i="3"/>
  <c r="AG46" i="3"/>
  <c r="AC46" i="3"/>
  <c r="AG45" i="3"/>
  <c r="AC45" i="3"/>
  <c r="AG44" i="3"/>
  <c r="AC44" i="3"/>
  <c r="AG5" i="3"/>
  <c r="AC5" i="3"/>
  <c r="AG42" i="3"/>
  <c r="AC42" i="3"/>
  <c r="AG41" i="3"/>
  <c r="AC41" i="3"/>
  <c r="AG40" i="3"/>
  <c r="AC40" i="3"/>
  <c r="AG24" i="3"/>
  <c r="AC24" i="3"/>
  <c r="AG39" i="3"/>
  <c r="AC39" i="3"/>
  <c r="AG38" i="3"/>
  <c r="AC38" i="3"/>
  <c r="AP179" i="3"/>
  <c r="AP180" i="3"/>
  <c r="AP142" i="3"/>
  <c r="AP141" i="3"/>
  <c r="AP135" i="3"/>
  <c r="AP149" i="3"/>
  <c r="AP130" i="3"/>
  <c r="AP99" i="3"/>
  <c r="AP97" i="3"/>
  <c r="AP125" i="3"/>
  <c r="AP123" i="3"/>
  <c r="AP122" i="3"/>
  <c r="AP120" i="3"/>
  <c r="AP116" i="3"/>
  <c r="AP118" i="3"/>
  <c r="AP114" i="3"/>
  <c r="AP113" i="3"/>
  <c r="AP112" i="3"/>
  <c r="AP111" i="3"/>
  <c r="AP110" i="3"/>
  <c r="AP109" i="3"/>
  <c r="AP148" i="3"/>
  <c r="AP150" i="3"/>
  <c r="AP108" i="3"/>
  <c r="AP81" i="3"/>
  <c r="AP80" i="3"/>
  <c r="AP14" i="3"/>
  <c r="AP102" i="3"/>
  <c r="AP79" i="3"/>
  <c r="AP78" i="3"/>
  <c r="AP77" i="3"/>
  <c r="AP157" i="3"/>
  <c r="AP98" i="3"/>
  <c r="AP100" i="3"/>
  <c r="AP155" i="3"/>
  <c r="AP156" i="3"/>
  <c r="AP89" i="3"/>
  <c r="AP87" i="3"/>
  <c r="AP65" i="3"/>
  <c r="AP64" i="3"/>
  <c r="AP63" i="3"/>
  <c r="AP62" i="3"/>
  <c r="AP32" i="3"/>
  <c r="AP91" i="3"/>
  <c r="AP88" i="3"/>
  <c r="AP90" i="3"/>
  <c r="AP29" i="3"/>
  <c r="AP28" i="3"/>
  <c r="AP27" i="3"/>
  <c r="AP26" i="3"/>
  <c r="AP25" i="3"/>
  <c r="AP23" i="3"/>
  <c r="AP53" i="3"/>
  <c r="AP7" i="3"/>
  <c r="AP41" i="3"/>
  <c r="AP52" i="3"/>
  <c r="AP164" i="3"/>
  <c r="AP163" i="3"/>
  <c r="AP43" i="3"/>
  <c r="AP47" i="3"/>
  <c r="AP6" i="3"/>
  <c r="AP159" i="3"/>
  <c r="AP158" i="3"/>
  <c r="AP46" i="3"/>
  <c r="AP45" i="3"/>
  <c r="AP44" i="3"/>
  <c r="AP42" i="3"/>
  <c r="AP40" i="3"/>
  <c r="AP24" i="3"/>
  <c r="AP39" i="3"/>
  <c r="AP140" i="3"/>
  <c r="AP138" i="3"/>
  <c r="AP134" i="3"/>
  <c r="AP133" i="3"/>
  <c r="AP132" i="3"/>
  <c r="AP128" i="3"/>
  <c r="AP126" i="3"/>
  <c r="AP121" i="3"/>
  <c r="AP119" i="3"/>
  <c r="AP115" i="3"/>
  <c r="AP74" i="3"/>
  <c r="AP75" i="3"/>
  <c r="AP162" i="3"/>
  <c r="AP17" i="3"/>
  <c r="AP72" i="3"/>
  <c r="AP55" i="3"/>
  <c r="AP54" i="3"/>
  <c r="AP51" i="3"/>
  <c r="AP50" i="3"/>
  <c r="AP161" i="3"/>
  <c r="AO45" i="3"/>
  <c r="AP5" i="3"/>
  <c r="AP38" i="3"/>
  <c r="AL179" i="3"/>
  <c r="AL180" i="3"/>
  <c r="AL142" i="3"/>
  <c r="AL141" i="3"/>
  <c r="AL128" i="3"/>
  <c r="AL140" i="3"/>
  <c r="AL132" i="3"/>
  <c r="AL149" i="3"/>
  <c r="AL130" i="3"/>
  <c r="AL126" i="3"/>
  <c r="AL99" i="3"/>
  <c r="AL97" i="3"/>
  <c r="AL125" i="3"/>
  <c r="AL123" i="3"/>
  <c r="AL120" i="3"/>
  <c r="AL116" i="3"/>
  <c r="AL114" i="3"/>
  <c r="AL113" i="3"/>
  <c r="AL112" i="3"/>
  <c r="AL110" i="3"/>
  <c r="AL148" i="3"/>
  <c r="AL108" i="3"/>
  <c r="AL81" i="3"/>
  <c r="AL80" i="3"/>
  <c r="AL14" i="3"/>
  <c r="AL102" i="3"/>
  <c r="AL79" i="3"/>
  <c r="AL78" i="3"/>
  <c r="AL77" i="3"/>
  <c r="AL157" i="3"/>
  <c r="AL98" i="3"/>
  <c r="AL100" i="3"/>
  <c r="AL155" i="3"/>
  <c r="AL74" i="3"/>
  <c r="AL75" i="3"/>
  <c r="AL17" i="3"/>
  <c r="AL156" i="3"/>
  <c r="AL72" i="3"/>
  <c r="AL89" i="3"/>
  <c r="AL87" i="3"/>
  <c r="AL65" i="3"/>
  <c r="AL64" i="3"/>
  <c r="AL63" i="3"/>
  <c r="AL62" i="3"/>
  <c r="AL91" i="3"/>
  <c r="AL90" i="3"/>
  <c r="AL29" i="3"/>
  <c r="AL28" i="3"/>
  <c r="AL30" i="3"/>
  <c r="AL26" i="3"/>
  <c r="AL25" i="3"/>
  <c r="AL23" i="3"/>
  <c r="AL55" i="3"/>
  <c r="AL31" i="3"/>
  <c r="AL164" i="3"/>
  <c r="AL7" i="3"/>
  <c r="AL163" i="3"/>
  <c r="AL50" i="3"/>
  <c r="AL43" i="3"/>
  <c r="AL47" i="3"/>
  <c r="AL6" i="3"/>
  <c r="AL161" i="3"/>
  <c r="AL159" i="3"/>
  <c r="AL158" i="3"/>
  <c r="AL46" i="3"/>
  <c r="AL45" i="3"/>
  <c r="AL44" i="3"/>
  <c r="AL5" i="3"/>
  <c r="AL42" i="3"/>
  <c r="AL41" i="3"/>
  <c r="AL40" i="3"/>
  <c r="AL24" i="3"/>
  <c r="AL39" i="3"/>
  <c r="AL38" i="3"/>
  <c r="AO161" i="3"/>
  <c r="AK161" i="3"/>
  <c r="AO74" i="3"/>
  <c r="AO75" i="3"/>
  <c r="AK74" i="3"/>
  <c r="AL122" i="3"/>
  <c r="AL115" i="3"/>
  <c r="AL119" i="3"/>
  <c r="AL134" i="3"/>
  <c r="AL133" i="3"/>
  <c r="AL121" i="3"/>
  <c r="AL118" i="3"/>
  <c r="AL109" i="3"/>
  <c r="AL138" i="3"/>
  <c r="AL135" i="3"/>
  <c r="AL111" i="3"/>
  <c r="AL162" i="3"/>
  <c r="AL32" i="3"/>
  <c r="AL88" i="3"/>
  <c r="AL27" i="3"/>
  <c r="AL53" i="3"/>
  <c r="AL52" i="3"/>
  <c r="AL51" i="3"/>
  <c r="AL49" i="3"/>
  <c r="AO183" i="3"/>
  <c r="AK183" i="3"/>
  <c r="AN180" i="3"/>
  <c r="AM180" i="3"/>
  <c r="AJ180" i="3"/>
  <c r="AI180" i="3"/>
  <c r="AO173" i="3"/>
  <c r="AK173" i="3"/>
  <c r="AO172" i="3"/>
  <c r="AK172" i="3"/>
  <c r="AO171" i="3"/>
  <c r="AK171" i="3"/>
  <c r="AO170" i="3"/>
  <c r="AO174" i="3"/>
  <c r="AK170" i="3"/>
  <c r="AO179" i="3"/>
  <c r="AO180" i="3"/>
  <c r="AO142" i="3"/>
  <c r="AK142" i="3"/>
  <c r="AO141" i="3"/>
  <c r="AK141" i="3"/>
  <c r="AO140" i="3"/>
  <c r="AK140" i="3"/>
  <c r="AO138" i="3"/>
  <c r="AK138" i="3"/>
  <c r="AO135" i="3"/>
  <c r="AK135" i="3"/>
  <c r="AO134" i="3"/>
  <c r="AK134" i="3"/>
  <c r="AO133" i="3"/>
  <c r="AK133" i="3"/>
  <c r="AO132" i="3"/>
  <c r="AK132" i="3"/>
  <c r="AO149" i="3"/>
  <c r="AK149" i="3"/>
  <c r="AO130" i="3"/>
  <c r="AK130" i="3"/>
  <c r="AO129" i="3"/>
  <c r="AK129" i="3"/>
  <c r="AO128" i="3"/>
  <c r="AK128" i="3"/>
  <c r="AO126" i="3"/>
  <c r="AK126" i="3"/>
  <c r="AO99" i="3"/>
  <c r="AK99" i="3"/>
  <c r="AO97" i="3"/>
  <c r="AK97" i="3"/>
  <c r="AO125" i="3"/>
  <c r="AK125" i="3"/>
  <c r="AO124" i="3"/>
  <c r="AK124" i="3"/>
  <c r="AO123" i="3"/>
  <c r="AK123" i="3"/>
  <c r="AO122" i="3"/>
  <c r="AK122" i="3"/>
  <c r="AO121" i="3"/>
  <c r="AK121" i="3"/>
  <c r="AO120" i="3"/>
  <c r="AK120" i="3"/>
  <c r="AO119" i="3"/>
  <c r="AK119" i="3"/>
  <c r="AO116" i="3"/>
  <c r="AK116" i="3"/>
  <c r="AO118" i="3"/>
  <c r="AK118" i="3"/>
  <c r="AO115" i="3"/>
  <c r="AK115" i="3"/>
  <c r="AO114" i="3"/>
  <c r="AK114" i="3"/>
  <c r="AO113" i="3"/>
  <c r="AK113" i="3"/>
  <c r="AO112" i="3"/>
  <c r="AK112" i="3"/>
  <c r="AO111" i="3"/>
  <c r="AK111" i="3"/>
  <c r="AO110" i="3"/>
  <c r="AK110" i="3"/>
  <c r="AO109" i="3"/>
  <c r="AK109" i="3"/>
  <c r="AO148" i="3"/>
  <c r="AK148" i="3"/>
  <c r="AO108" i="3"/>
  <c r="AK108" i="3"/>
  <c r="AO81" i="3"/>
  <c r="AK81" i="3"/>
  <c r="AO80" i="3"/>
  <c r="AK80" i="3"/>
  <c r="AO14" i="3"/>
  <c r="AK14" i="3"/>
  <c r="AO102" i="3"/>
  <c r="AK102" i="3"/>
  <c r="AO79" i="3"/>
  <c r="AK79" i="3"/>
  <c r="AO78" i="3"/>
  <c r="AK78" i="3"/>
  <c r="AO77" i="3"/>
  <c r="AK77" i="3"/>
  <c r="AO157" i="3"/>
  <c r="AK157" i="3"/>
  <c r="AO15" i="3"/>
  <c r="AK15" i="3"/>
  <c r="AO98" i="3"/>
  <c r="AK98" i="3"/>
  <c r="AO100" i="3"/>
  <c r="AK100" i="3"/>
  <c r="AO76" i="3"/>
  <c r="AK76" i="3"/>
  <c r="AO155" i="3"/>
  <c r="AK155" i="3"/>
  <c r="AK75" i="3"/>
  <c r="AO162" i="3"/>
  <c r="AK162" i="3"/>
  <c r="AO17" i="3"/>
  <c r="AK17" i="3"/>
  <c r="AO156" i="3"/>
  <c r="AO72" i="3"/>
  <c r="AK72" i="3"/>
  <c r="AO89" i="3"/>
  <c r="AK89" i="3"/>
  <c r="AO87" i="3"/>
  <c r="AK87" i="3"/>
  <c r="AO65" i="3"/>
  <c r="AK65" i="3"/>
  <c r="AO64" i="3"/>
  <c r="AK64" i="3"/>
  <c r="AO63" i="3"/>
  <c r="AK63" i="3"/>
  <c r="AO62" i="3"/>
  <c r="AO67" i="3"/>
  <c r="AK62" i="3"/>
  <c r="AO32" i="3"/>
  <c r="AK32" i="3"/>
  <c r="AO91" i="3"/>
  <c r="AK91" i="3"/>
  <c r="AO88" i="3"/>
  <c r="AK88" i="3"/>
  <c r="AO90" i="3"/>
  <c r="AK90" i="3"/>
  <c r="AO29" i="3"/>
  <c r="AK29" i="3"/>
  <c r="AO28" i="3"/>
  <c r="AK28" i="3"/>
  <c r="AO27" i="3"/>
  <c r="AK27" i="3"/>
  <c r="AO30" i="3"/>
  <c r="AK30" i="3"/>
  <c r="AO26" i="3"/>
  <c r="AK26" i="3"/>
  <c r="AO25" i="3"/>
  <c r="AK25" i="3"/>
  <c r="AO23" i="3"/>
  <c r="AK23" i="3"/>
  <c r="AO55" i="3"/>
  <c r="AK55" i="3"/>
  <c r="AO56" i="3"/>
  <c r="AK56" i="3"/>
  <c r="AO53" i="3"/>
  <c r="AK53" i="3"/>
  <c r="AO52" i="3"/>
  <c r="AK52" i="3"/>
  <c r="AO31" i="3"/>
  <c r="AK31" i="3"/>
  <c r="AO54" i="3"/>
  <c r="AK54" i="3"/>
  <c r="AO164" i="3"/>
  <c r="AK164" i="3"/>
  <c r="AO51" i="3"/>
  <c r="AK51" i="3"/>
  <c r="AO7" i="3"/>
  <c r="AK7" i="3"/>
  <c r="AO163" i="3"/>
  <c r="AK163" i="3"/>
  <c r="AO50" i="3"/>
  <c r="AK50" i="3"/>
  <c r="AO49" i="3"/>
  <c r="AK49" i="3"/>
  <c r="AO43" i="3"/>
  <c r="AK43" i="3"/>
  <c r="AO47" i="3"/>
  <c r="AK47" i="3"/>
  <c r="AO6" i="3"/>
  <c r="AK6" i="3"/>
  <c r="AO159" i="3"/>
  <c r="AK159" i="3"/>
  <c r="AO158" i="3"/>
  <c r="AK158" i="3"/>
  <c r="AO46" i="3"/>
  <c r="AK46" i="3"/>
  <c r="AK45" i="3"/>
  <c r="AO44" i="3"/>
  <c r="AK44" i="3"/>
  <c r="AO5" i="3"/>
  <c r="AK5" i="3"/>
  <c r="AO42" i="3"/>
  <c r="AK42" i="3"/>
  <c r="AO41" i="3"/>
  <c r="AK41" i="3"/>
  <c r="AO40" i="3"/>
  <c r="AK40" i="3"/>
  <c r="AO24" i="3"/>
  <c r="AK24" i="3"/>
  <c r="AO39" i="3"/>
  <c r="AK39" i="3"/>
  <c r="AO38" i="3"/>
  <c r="AK38" i="3"/>
  <c r="AX141" i="3"/>
  <c r="AX125" i="3"/>
  <c r="AX123" i="3"/>
  <c r="AX113" i="3"/>
  <c r="AX110" i="3"/>
  <c r="AX148" i="3"/>
  <c r="AX81" i="3"/>
  <c r="AX77" i="3"/>
  <c r="AX17" i="3"/>
  <c r="AX72" i="3"/>
  <c r="AX63" i="3"/>
  <c r="AX32" i="3"/>
  <c r="AX53" i="3"/>
  <c r="AX52" i="3"/>
  <c r="AX54" i="3"/>
  <c r="AX51" i="3"/>
  <c r="AX49" i="3"/>
  <c r="AX47" i="3"/>
  <c r="AX39" i="3"/>
  <c r="AX133" i="3"/>
  <c r="AX163" i="3"/>
  <c r="AX42" i="3"/>
  <c r="AX102" i="3"/>
  <c r="AX7" i="3"/>
  <c r="AX6" i="3"/>
  <c r="AX159" i="3"/>
  <c r="AX158" i="3"/>
  <c r="AX98" i="3"/>
  <c r="AX126" i="3"/>
  <c r="AX100" i="3"/>
  <c r="AX45" i="3"/>
  <c r="AX43" i="3"/>
  <c r="AX46" i="3"/>
  <c r="AX99" i="3"/>
  <c r="AX157" i="3"/>
  <c r="AX162" i="3"/>
  <c r="AX62" i="3"/>
  <c r="AX14" i="3"/>
  <c r="AX120" i="3"/>
  <c r="AX38" i="3"/>
  <c r="AX156" i="3"/>
  <c r="AX155" i="3"/>
  <c r="AX65" i="3"/>
  <c r="AX64" i="3"/>
  <c r="AX44" i="3"/>
  <c r="AX40" i="3"/>
  <c r="AX55" i="3"/>
  <c r="AX41" i="3"/>
  <c r="AX149" i="3"/>
  <c r="AX150" i="3"/>
  <c r="AX108" i="3"/>
  <c r="AX80" i="3"/>
  <c r="AX75" i="3"/>
  <c r="AX79" i="3"/>
  <c r="AX142" i="3"/>
  <c r="AX114" i="3"/>
  <c r="AX130" i="3"/>
  <c r="AX78" i="3"/>
  <c r="AX88" i="3"/>
  <c r="AX26" i="3"/>
  <c r="AX90" i="3"/>
  <c r="AX89" i="3"/>
  <c r="AX87" i="3"/>
  <c r="AX116" i="3"/>
  <c r="AX140" i="3"/>
  <c r="AX118" i="3"/>
  <c r="AX138" i="3"/>
  <c r="AX112" i="3"/>
  <c r="AX29" i="3"/>
  <c r="AX27" i="3"/>
  <c r="AX28" i="3"/>
  <c r="AX24" i="3"/>
  <c r="AX23" i="3"/>
  <c r="AX25" i="3"/>
  <c r="AX91" i="3"/>
  <c r="AX164" i="3"/>
  <c r="AX50" i="3"/>
  <c r="AX122" i="3"/>
  <c r="AX134" i="3"/>
  <c r="AX129" i="3"/>
  <c r="AX128" i="3"/>
  <c r="AX97" i="3"/>
  <c r="AX111" i="3"/>
  <c r="AX109" i="3"/>
  <c r="AX66" i="3"/>
  <c r="AX5" i="3"/>
  <c r="AX76" i="3"/>
  <c r="AW76" i="3"/>
  <c r="AW72" i="3"/>
  <c r="AW66" i="3"/>
  <c r="AX30" i="3"/>
  <c r="AX56" i="3"/>
  <c r="AX31" i="3"/>
  <c r="AX121" i="3"/>
  <c r="AT72" i="3"/>
  <c r="AT77" i="3"/>
  <c r="AT5" i="3"/>
  <c r="AT110" i="3"/>
  <c r="AT141" i="3"/>
  <c r="AT123" i="3"/>
  <c r="AT125" i="3"/>
  <c r="AT119" i="3"/>
  <c r="AT81" i="3"/>
  <c r="AT52" i="3"/>
  <c r="AT128" i="3"/>
  <c r="AT113" i="3"/>
  <c r="AT63" i="3"/>
  <c r="AT47" i="3"/>
  <c r="AT17" i="3"/>
  <c r="AT39" i="3"/>
  <c r="AT148" i="3"/>
  <c r="AT30" i="3"/>
  <c r="AT32" i="3"/>
  <c r="AT31" i="3"/>
  <c r="AT133" i="3"/>
  <c r="AT163" i="3"/>
  <c r="AT42" i="3"/>
  <c r="AT102" i="3"/>
  <c r="AT7" i="3"/>
  <c r="AT6" i="3"/>
  <c r="AT159" i="3"/>
  <c r="AT158" i="3"/>
  <c r="AT98" i="3"/>
  <c r="AT126" i="3"/>
  <c r="AT97" i="3"/>
  <c r="AT100" i="3"/>
  <c r="AT45" i="3"/>
  <c r="AT43" i="3"/>
  <c r="AT46" i="3"/>
  <c r="AT99" i="3"/>
  <c r="AT157" i="3"/>
  <c r="AT162" i="3"/>
  <c r="AT62" i="3"/>
  <c r="AT14" i="3"/>
  <c r="AT121" i="3"/>
  <c r="AT120" i="3"/>
  <c r="AT38" i="3"/>
  <c r="AT156" i="3"/>
  <c r="AT155" i="3"/>
  <c r="AT65" i="3"/>
  <c r="AT64" i="3"/>
  <c r="AT44" i="3"/>
  <c r="AT40" i="3"/>
  <c r="AT55" i="3"/>
  <c r="AT41" i="3"/>
  <c r="AT66" i="3"/>
  <c r="AT149" i="3"/>
  <c r="AT108" i="3"/>
  <c r="AT80" i="3"/>
  <c r="AT75" i="3"/>
  <c r="AT79" i="3"/>
  <c r="AT142" i="3"/>
  <c r="AT114" i="3"/>
  <c r="AT130" i="3"/>
  <c r="AT78" i="3"/>
  <c r="AT88" i="3"/>
  <c r="AT26" i="3"/>
  <c r="AT90" i="3"/>
  <c r="AT89" i="3"/>
  <c r="AT116" i="3"/>
  <c r="AT140" i="3"/>
  <c r="AT118" i="3"/>
  <c r="AT109" i="3"/>
  <c r="AT138" i="3"/>
  <c r="AT112" i="3"/>
  <c r="AT29" i="3"/>
  <c r="AT27" i="3"/>
  <c r="AT28" i="3"/>
  <c r="AT24" i="3"/>
  <c r="AT23" i="3"/>
  <c r="AT25" i="3"/>
  <c r="AT111" i="3"/>
  <c r="AT91" i="3"/>
  <c r="AT164" i="3"/>
  <c r="AT50" i="3"/>
  <c r="AT122" i="3"/>
  <c r="AW159" i="3"/>
  <c r="AW46" i="3"/>
  <c r="AT115" i="3"/>
  <c r="AT53" i="3"/>
  <c r="AT51" i="3"/>
  <c r="AT49" i="3"/>
  <c r="AT134" i="3"/>
  <c r="AS159" i="3"/>
  <c r="AS46" i="3"/>
  <c r="AT129" i="3"/>
  <c r="AT87" i="3"/>
  <c r="BF179" i="3"/>
  <c r="BF180" i="3"/>
  <c r="BF142" i="3"/>
  <c r="BF141" i="3"/>
  <c r="BF134" i="3"/>
  <c r="BF130" i="3"/>
  <c r="BF128" i="3"/>
  <c r="BF99" i="3"/>
  <c r="BF123" i="3"/>
  <c r="BF122" i="3"/>
  <c r="BF120" i="3"/>
  <c r="BF116" i="3"/>
  <c r="BF118" i="3"/>
  <c r="BF114" i="3"/>
  <c r="BF113" i="3"/>
  <c r="BF112" i="3"/>
  <c r="BF109" i="3"/>
  <c r="BF148" i="3"/>
  <c r="AS122" i="3"/>
  <c r="BF81" i="3"/>
  <c r="BF80" i="3"/>
  <c r="BF14" i="3"/>
  <c r="BF102" i="3"/>
  <c r="BF79" i="3"/>
  <c r="BF78" i="3"/>
  <c r="BF77" i="3"/>
  <c r="BF157" i="3"/>
  <c r="BF98" i="3"/>
  <c r="BF100" i="3"/>
  <c r="BF155" i="3"/>
  <c r="BF75" i="3"/>
  <c r="BF17" i="3"/>
  <c r="BF156" i="3"/>
  <c r="BF72" i="3"/>
  <c r="BF89" i="3"/>
  <c r="BF87" i="3"/>
  <c r="BF65" i="3"/>
  <c r="BF64" i="3"/>
  <c r="BF63" i="3"/>
  <c r="BF91" i="3"/>
  <c r="BF88" i="3"/>
  <c r="BF90" i="3"/>
  <c r="BF28" i="3"/>
  <c r="BF26" i="3"/>
  <c r="BF25" i="3"/>
  <c r="BF23" i="3"/>
  <c r="BF164" i="3"/>
  <c r="BF7" i="3"/>
  <c r="BF163" i="3"/>
  <c r="BF50" i="3"/>
  <c r="BF49" i="3"/>
  <c r="BF47" i="3"/>
  <c r="BF6" i="3"/>
  <c r="BF158" i="3"/>
  <c r="BF45" i="3"/>
  <c r="BF44" i="3"/>
  <c r="BF5" i="3"/>
  <c r="BF42" i="3"/>
  <c r="BF41" i="3"/>
  <c r="BF40" i="3"/>
  <c r="BF24" i="3"/>
  <c r="BF38" i="3"/>
  <c r="AV180" i="3"/>
  <c r="AU180" i="3"/>
  <c r="AQ180" i="3"/>
  <c r="AW173" i="3"/>
  <c r="AS173" i="3"/>
  <c r="AW172" i="3"/>
  <c r="AS172" i="3"/>
  <c r="AW171" i="3"/>
  <c r="AW174" i="3"/>
  <c r="AS171" i="3"/>
  <c r="AW170" i="3"/>
  <c r="AS170" i="3"/>
  <c r="AW179" i="3"/>
  <c r="AW180" i="3"/>
  <c r="AS179" i="3"/>
  <c r="AS180" i="3"/>
  <c r="AR180" i="3"/>
  <c r="AW142" i="3"/>
  <c r="AS142" i="3"/>
  <c r="AW141" i="3"/>
  <c r="AS141" i="3"/>
  <c r="AW140" i="3"/>
  <c r="AS140" i="3"/>
  <c r="AW138" i="3"/>
  <c r="AS138" i="3"/>
  <c r="AW135" i="3"/>
  <c r="AT135" i="3"/>
  <c r="AS135" i="3"/>
  <c r="AW134" i="3"/>
  <c r="AS134" i="3"/>
  <c r="AW133" i="3"/>
  <c r="AS133" i="3"/>
  <c r="AW132" i="3"/>
  <c r="AS132" i="3"/>
  <c r="AW149" i="3"/>
  <c r="AS149" i="3"/>
  <c r="AW130" i="3"/>
  <c r="AS130" i="3"/>
  <c r="AW129" i="3"/>
  <c r="AS129" i="3"/>
  <c r="AW128" i="3"/>
  <c r="AS128" i="3"/>
  <c r="AW126" i="3"/>
  <c r="AS126" i="3"/>
  <c r="AW99" i="3"/>
  <c r="AS99" i="3"/>
  <c r="AW97" i="3"/>
  <c r="AS97" i="3"/>
  <c r="AW125" i="3"/>
  <c r="AS125" i="3"/>
  <c r="AW124" i="3"/>
  <c r="AS124" i="3"/>
  <c r="AW123" i="3"/>
  <c r="AS123" i="3"/>
  <c r="AW122" i="3"/>
  <c r="AW121" i="3"/>
  <c r="AS121" i="3"/>
  <c r="AW120" i="3"/>
  <c r="AS120" i="3"/>
  <c r="AW119" i="3"/>
  <c r="AS119" i="3"/>
  <c r="AW116" i="3"/>
  <c r="AS116" i="3"/>
  <c r="AW118" i="3"/>
  <c r="AS118" i="3"/>
  <c r="AW115" i="3"/>
  <c r="AS115" i="3"/>
  <c r="AW114" i="3"/>
  <c r="AS114" i="3"/>
  <c r="AW113" i="3"/>
  <c r="AS113" i="3"/>
  <c r="AW112" i="3"/>
  <c r="AS112" i="3"/>
  <c r="AW111" i="3"/>
  <c r="AS111" i="3"/>
  <c r="AW110" i="3"/>
  <c r="AS110" i="3"/>
  <c r="AW109" i="3"/>
  <c r="AS109" i="3"/>
  <c r="AW148" i="3"/>
  <c r="AS148" i="3"/>
  <c r="AW108" i="3"/>
  <c r="AS108" i="3"/>
  <c r="AW81" i="3"/>
  <c r="AS81" i="3"/>
  <c r="AW80" i="3"/>
  <c r="AS80" i="3"/>
  <c r="AW14" i="3"/>
  <c r="AS14" i="3"/>
  <c r="AW102" i="3"/>
  <c r="AS102" i="3"/>
  <c r="AW79" i="3"/>
  <c r="AS79" i="3"/>
  <c r="AW78" i="3"/>
  <c r="AS78" i="3"/>
  <c r="AW77" i="3"/>
  <c r="AS77" i="3"/>
  <c r="AW157" i="3"/>
  <c r="AS157" i="3"/>
  <c r="AW15" i="3"/>
  <c r="AS15" i="3"/>
  <c r="AW98" i="3"/>
  <c r="AS98" i="3"/>
  <c r="AW100" i="3"/>
  <c r="AS100" i="3"/>
  <c r="AS76" i="3"/>
  <c r="AW155" i="3"/>
  <c r="AS155" i="3"/>
  <c r="AW75" i="3"/>
  <c r="AS75" i="3"/>
  <c r="AW162" i="3"/>
  <c r="AS162" i="3"/>
  <c r="AS17" i="3"/>
  <c r="AW156" i="3"/>
  <c r="AS156" i="3"/>
  <c r="AS72" i="3"/>
  <c r="AW89" i="3"/>
  <c r="AS89" i="3"/>
  <c r="AW87" i="3"/>
  <c r="AS87" i="3"/>
  <c r="AS66" i="3"/>
  <c r="AW65" i="3"/>
  <c r="AS65" i="3"/>
  <c r="AW64" i="3"/>
  <c r="AS64" i="3"/>
  <c r="AW63" i="3"/>
  <c r="AS63" i="3"/>
  <c r="AW62" i="3"/>
  <c r="AS62" i="3"/>
  <c r="AW32" i="3"/>
  <c r="AS32" i="3"/>
  <c r="AW91" i="3"/>
  <c r="AS91" i="3"/>
  <c r="AW88" i="3"/>
  <c r="AS88" i="3"/>
  <c r="AW90" i="3"/>
  <c r="AS90" i="3"/>
  <c r="AW29" i="3"/>
  <c r="AS29" i="3"/>
  <c r="AW28" i="3"/>
  <c r="AS28" i="3"/>
  <c r="AW27" i="3"/>
  <c r="AS27" i="3"/>
  <c r="AW30" i="3"/>
  <c r="AS30" i="3"/>
  <c r="AW26" i="3"/>
  <c r="AS26" i="3"/>
  <c r="AW25" i="3"/>
  <c r="AS25" i="3"/>
  <c r="AW23" i="3"/>
  <c r="AS23" i="3"/>
  <c r="AW55" i="3"/>
  <c r="AS55" i="3"/>
  <c r="AW56" i="3"/>
  <c r="AS56" i="3"/>
  <c r="AW53" i="3"/>
  <c r="AS53" i="3"/>
  <c r="AW52" i="3"/>
  <c r="AS52" i="3"/>
  <c r="AW31" i="3"/>
  <c r="AS31" i="3"/>
  <c r="AW54" i="3"/>
  <c r="AT54" i="3"/>
  <c r="AS54" i="3"/>
  <c r="AW164" i="3"/>
  <c r="AS164" i="3"/>
  <c r="AW51" i="3"/>
  <c r="AS51" i="3"/>
  <c r="AW7" i="3"/>
  <c r="AS7" i="3"/>
  <c r="AW163" i="3"/>
  <c r="AS163" i="3"/>
  <c r="AW50" i="3"/>
  <c r="AS50" i="3"/>
  <c r="AW49" i="3"/>
  <c r="AS49" i="3"/>
  <c r="AW43" i="3"/>
  <c r="AS43" i="3"/>
  <c r="AW47" i="3"/>
  <c r="AS47" i="3"/>
  <c r="AW6" i="3"/>
  <c r="AS6" i="3"/>
  <c r="AW158" i="3"/>
  <c r="AS158" i="3"/>
  <c r="AW45" i="3"/>
  <c r="AS45" i="3"/>
  <c r="AW44" i="3"/>
  <c r="AS44" i="3"/>
  <c r="AW5" i="3"/>
  <c r="AS5" i="3"/>
  <c r="AS9" i="3"/>
  <c r="AW42" i="3"/>
  <c r="AS42" i="3"/>
  <c r="AW41" i="3"/>
  <c r="AS41" i="3"/>
  <c r="AW40" i="3"/>
  <c r="AS40" i="3"/>
  <c r="AW24" i="3"/>
  <c r="AS24" i="3"/>
  <c r="AW39" i="3"/>
  <c r="AS39" i="3"/>
  <c r="AW38" i="3"/>
  <c r="AS38" i="3"/>
  <c r="BF110" i="3"/>
  <c r="BF56" i="3"/>
  <c r="BF125" i="3"/>
  <c r="BF119" i="3"/>
  <c r="BF53" i="3"/>
  <c r="BF52" i="3"/>
  <c r="BF51" i="3"/>
  <c r="BF54" i="3"/>
  <c r="BF39" i="3"/>
  <c r="BF32" i="3"/>
  <c r="BF133" i="3"/>
  <c r="BF126" i="3"/>
  <c r="BF97" i="3"/>
  <c r="BF43" i="3"/>
  <c r="BF162" i="3"/>
  <c r="BF62" i="3"/>
  <c r="BF121" i="3"/>
  <c r="BF55" i="3"/>
  <c r="BF66" i="3"/>
  <c r="BF149" i="3"/>
  <c r="BF108" i="3"/>
  <c r="BE81" i="3"/>
  <c r="BE80" i="3"/>
  <c r="BE14" i="3"/>
  <c r="BE102" i="3"/>
  <c r="BE79" i="3"/>
  <c r="BE78" i="3"/>
  <c r="BE77" i="3"/>
  <c r="BE157" i="3"/>
  <c r="BE15" i="3"/>
  <c r="BE98" i="3"/>
  <c r="BE100" i="3"/>
  <c r="BF76" i="3"/>
  <c r="BE76" i="3"/>
  <c r="BE155" i="3"/>
  <c r="BE75" i="3"/>
  <c r="BE162" i="3"/>
  <c r="BE17" i="3"/>
  <c r="BE156" i="3"/>
  <c r="BE72" i="3"/>
  <c r="BE89" i="3"/>
  <c r="BE87" i="3"/>
  <c r="BE66" i="3"/>
  <c r="BE65" i="3"/>
  <c r="BE64" i="3"/>
  <c r="BE63" i="3"/>
  <c r="BE62" i="3"/>
  <c r="BF140" i="3"/>
  <c r="BF138" i="3"/>
  <c r="BF29" i="3"/>
  <c r="BF27" i="3"/>
  <c r="BE32" i="3"/>
  <c r="BE91" i="3"/>
  <c r="BE88" i="3"/>
  <c r="BE90" i="3"/>
  <c r="BE29" i="3"/>
  <c r="BE28" i="3"/>
  <c r="BE27" i="3"/>
  <c r="BF30" i="3"/>
  <c r="BE30" i="3"/>
  <c r="BE26" i="3"/>
  <c r="BE25" i="3"/>
  <c r="BE23" i="3"/>
  <c r="BE55" i="3"/>
  <c r="BE56" i="3"/>
  <c r="BE53" i="3"/>
  <c r="BE52" i="3"/>
  <c r="BE31" i="3"/>
  <c r="BE54" i="3"/>
  <c r="BE164" i="3"/>
  <c r="BE51" i="3"/>
  <c r="BE7" i="3"/>
  <c r="BE163" i="3"/>
  <c r="BE50" i="3"/>
  <c r="BE49" i="3"/>
  <c r="BE43" i="3"/>
  <c r="BE47" i="3"/>
  <c r="BE6" i="3"/>
  <c r="BE158" i="3"/>
  <c r="BE45" i="3"/>
  <c r="BE44" i="3"/>
  <c r="BE5" i="3"/>
  <c r="BE42" i="3"/>
  <c r="BE41" i="3"/>
  <c r="BE40" i="3"/>
  <c r="BE24" i="3"/>
  <c r="BE39" i="3"/>
  <c r="BE38" i="3"/>
  <c r="BE122" i="3"/>
  <c r="BE142" i="3"/>
  <c r="BE141" i="3"/>
  <c r="BE140" i="3"/>
  <c r="BE138" i="3"/>
  <c r="BF135" i="3"/>
  <c r="BE135" i="3"/>
  <c r="BE134" i="3"/>
  <c r="BE133" i="3"/>
  <c r="BF132" i="3"/>
  <c r="BE132" i="3"/>
  <c r="BE149" i="3"/>
  <c r="BE130" i="3"/>
  <c r="BE129" i="3"/>
  <c r="BE128" i="3"/>
  <c r="BE126" i="3"/>
  <c r="BE99" i="3"/>
  <c r="BE97" i="3"/>
  <c r="BE125" i="3"/>
  <c r="BF124" i="3"/>
  <c r="BE124" i="3"/>
  <c r="BE123" i="3"/>
  <c r="BE121" i="3"/>
  <c r="BE120" i="3"/>
  <c r="BE119" i="3"/>
  <c r="BE116" i="3"/>
  <c r="BE118" i="3"/>
  <c r="BE115" i="3"/>
  <c r="BE114" i="3"/>
  <c r="BE113" i="3"/>
  <c r="BE112" i="3"/>
  <c r="BF111" i="3"/>
  <c r="BE111" i="3"/>
  <c r="BE110" i="3"/>
  <c r="BE109" i="3"/>
  <c r="BE148" i="3"/>
  <c r="BE150" i="3"/>
  <c r="BE108" i="3"/>
  <c r="BF170" i="3"/>
  <c r="BE173" i="3"/>
  <c r="BE172" i="3"/>
  <c r="BE171" i="3"/>
  <c r="BE170" i="3"/>
  <c r="BE179" i="3"/>
  <c r="BE180" i="3"/>
  <c r="BB72" i="3"/>
  <c r="BB77" i="3"/>
  <c r="BB5" i="3"/>
  <c r="BB110" i="3"/>
  <c r="BB115" i="3"/>
  <c r="BB141" i="3"/>
  <c r="BB56" i="3"/>
  <c r="BB125" i="3"/>
  <c r="BB81" i="3"/>
  <c r="BB53" i="3"/>
  <c r="BB52" i="3"/>
  <c r="BB49" i="3"/>
  <c r="BB113" i="3"/>
  <c r="BB63" i="3"/>
  <c r="BB47" i="3"/>
  <c r="BB17" i="3"/>
  <c r="BB39" i="3"/>
  <c r="BB148" i="3"/>
  <c r="BB163" i="3"/>
  <c r="BB42" i="3"/>
  <c r="BB102" i="3"/>
  <c r="BB7" i="3"/>
  <c r="BB6" i="3"/>
  <c r="BB158" i="3"/>
  <c r="BB98" i="3"/>
  <c r="BB100" i="3"/>
  <c r="BB45" i="3"/>
  <c r="BB43" i="3"/>
  <c r="BB99" i="3"/>
  <c r="BB157" i="3"/>
  <c r="BB62" i="3"/>
  <c r="BB14" i="3"/>
  <c r="BB120" i="3"/>
  <c r="BB38" i="3"/>
  <c r="BB156" i="3"/>
  <c r="BB65" i="3"/>
  <c r="BB64" i="3"/>
  <c r="BB44" i="3"/>
  <c r="BB40" i="3"/>
  <c r="BB55" i="3"/>
  <c r="BB41" i="3"/>
  <c r="BB66" i="3"/>
  <c r="BB149" i="3"/>
  <c r="BB150" i="3"/>
  <c r="BB108" i="3"/>
  <c r="BB80" i="3"/>
  <c r="BB75" i="3"/>
  <c r="BB142" i="3"/>
  <c r="BB130" i="3"/>
  <c r="BB78" i="3"/>
  <c r="BB88" i="3"/>
  <c r="BB26" i="3"/>
  <c r="BB90" i="3"/>
  <c r="BB89" i="3"/>
  <c r="BB87" i="3"/>
  <c r="BB116" i="3"/>
  <c r="BB118" i="3"/>
  <c r="BB140" i="3"/>
  <c r="BB109" i="3"/>
  <c r="BB138" i="3"/>
  <c r="BB112" i="3"/>
  <c r="BB29" i="3"/>
  <c r="BB27" i="3"/>
  <c r="BB28" i="3"/>
  <c r="BB24" i="3"/>
  <c r="BB23" i="3"/>
  <c r="BB25" i="3"/>
  <c r="BB91" i="3"/>
  <c r="BB164" i="3"/>
  <c r="BB50" i="3"/>
  <c r="AZ180" i="3"/>
  <c r="BB134" i="3"/>
  <c r="BB133" i="3"/>
  <c r="BB128" i="3"/>
  <c r="BB126" i="3"/>
  <c r="BB97" i="3"/>
  <c r="BB123" i="3"/>
  <c r="BB121" i="3"/>
  <c r="BB119" i="3"/>
  <c r="BB114" i="3"/>
  <c r="BB111" i="3"/>
  <c r="BB162" i="3"/>
  <c r="BB30" i="3"/>
  <c r="BB54" i="3"/>
  <c r="BB51" i="3"/>
  <c r="BC180" i="3"/>
  <c r="AY180" i="3"/>
  <c r="BA173" i="3"/>
  <c r="BA172" i="3"/>
  <c r="BA171" i="3"/>
  <c r="BA170" i="3"/>
  <c r="BD180" i="3"/>
  <c r="BA142" i="3"/>
  <c r="BA141" i="3"/>
  <c r="BA140" i="3"/>
  <c r="BA138" i="3"/>
  <c r="BB135" i="3"/>
  <c r="BA135" i="3"/>
  <c r="BA134" i="3"/>
  <c r="BA133" i="3"/>
  <c r="BA132" i="3"/>
  <c r="BA149" i="3"/>
  <c r="BA130" i="3"/>
  <c r="BA129" i="3"/>
  <c r="BA128" i="3"/>
  <c r="BA126" i="3"/>
  <c r="BA99" i="3"/>
  <c r="BA97" i="3"/>
  <c r="BA125" i="3"/>
  <c r="BA124" i="3"/>
  <c r="BA123" i="3"/>
  <c r="BA121" i="3"/>
  <c r="BA120" i="3"/>
  <c r="BA119" i="3"/>
  <c r="BA116" i="3"/>
  <c r="BA118" i="3"/>
  <c r="BA115" i="3"/>
  <c r="BA114" i="3"/>
  <c r="BA113" i="3"/>
  <c r="BA112" i="3"/>
  <c r="BA111" i="3"/>
  <c r="BA110" i="3"/>
  <c r="BA109" i="3"/>
  <c r="BA148" i="3"/>
  <c r="BA108" i="3"/>
  <c r="BA81" i="3"/>
  <c r="BA80" i="3"/>
  <c r="BA14" i="3"/>
  <c r="BA102" i="3"/>
  <c r="BA79" i="3"/>
  <c r="BA78" i="3"/>
  <c r="BA77" i="3"/>
  <c r="BA157" i="3"/>
  <c r="BA15" i="3"/>
  <c r="BA98" i="3"/>
  <c r="BA100" i="3"/>
  <c r="BA76" i="3"/>
  <c r="BA155" i="3"/>
  <c r="BA75" i="3"/>
  <c r="BA162" i="3"/>
  <c r="BA17" i="3"/>
  <c r="BA156" i="3"/>
  <c r="BA72" i="3"/>
  <c r="BA89" i="3"/>
  <c r="BA87" i="3"/>
  <c r="BA66" i="3"/>
  <c r="BA65" i="3"/>
  <c r="BA64" i="3"/>
  <c r="BA63" i="3"/>
  <c r="BA62" i="3"/>
  <c r="BA32" i="3"/>
  <c r="BA91" i="3"/>
  <c r="BA88" i="3"/>
  <c r="BA90" i="3"/>
  <c r="BA29" i="3"/>
  <c r="BA28" i="3"/>
  <c r="BA27" i="3"/>
  <c r="BA30" i="3"/>
  <c r="BA26" i="3"/>
  <c r="BA25" i="3"/>
  <c r="BA23" i="3"/>
  <c r="BA55" i="3"/>
  <c r="BA56" i="3"/>
  <c r="BA53" i="3"/>
  <c r="BA52" i="3"/>
  <c r="BA31" i="3"/>
  <c r="BA54" i="3"/>
  <c r="BA164" i="3"/>
  <c r="BA51" i="3"/>
  <c r="BA7" i="3"/>
  <c r="BA163" i="3"/>
  <c r="BA50" i="3"/>
  <c r="BA49" i="3"/>
  <c r="BA43" i="3"/>
  <c r="BA47" i="3"/>
  <c r="BA6" i="3"/>
  <c r="BA158" i="3"/>
  <c r="BA45" i="3"/>
  <c r="BA44" i="3"/>
  <c r="BA5" i="3"/>
  <c r="BA42" i="3"/>
  <c r="BA41" i="3"/>
  <c r="BA40" i="3"/>
  <c r="BA24" i="3"/>
  <c r="BA39" i="3"/>
  <c r="BA38" i="3"/>
  <c r="AK156" i="3"/>
  <c r="AV33" i="3"/>
  <c r="BA179" i="3"/>
  <c r="BA180" i="3"/>
  <c r="Y180" i="3"/>
  <c r="Z9" i="3"/>
  <c r="I103" i="3"/>
  <c r="V9" i="3"/>
  <c r="V143" i="3"/>
  <c r="AG9" i="3"/>
  <c r="R104" i="3"/>
  <c r="BE18" i="3"/>
  <c r="AW33" i="3"/>
  <c r="AC82" i="3"/>
  <c r="U18" i="3"/>
  <c r="M67" i="3"/>
  <c r="M150" i="3"/>
  <c r="AH181" i="3"/>
  <c r="V165" i="3"/>
  <c r="Z57" i="3"/>
  <c r="BE33" i="3"/>
  <c r="BE165" i="3"/>
  <c r="AL150" i="3"/>
  <c r="AP151" i="3"/>
  <c r="AD9" i="3"/>
  <c r="N18" i="3"/>
  <c r="R19" i="3"/>
  <c r="I92" i="3"/>
  <c r="BA18" i="3"/>
  <c r="BA150" i="3"/>
  <c r="BE57" i="3"/>
  <c r="AW92" i="3"/>
  <c r="AW150" i="3"/>
  <c r="AX9" i="3"/>
  <c r="AX67" i="3"/>
  <c r="AK67" i="3"/>
  <c r="AK150" i="3"/>
  <c r="AL165" i="3"/>
  <c r="AL143" i="3"/>
  <c r="AP144" i="3"/>
  <c r="AG57" i="3"/>
  <c r="AH67" i="3"/>
  <c r="AH92" i="3"/>
  <c r="Y57" i="3"/>
  <c r="Y9" i="3"/>
  <c r="Y33" i="3"/>
  <c r="Y143" i="3"/>
  <c r="BB67" i="3"/>
  <c r="AW9" i="3"/>
  <c r="M9" i="3"/>
  <c r="AH174" i="3"/>
  <c r="BA174" i="3"/>
  <c r="AW18" i="3"/>
  <c r="AS150" i="3"/>
  <c r="BF9" i="3"/>
  <c r="BF165" i="3"/>
  <c r="AT92" i="3"/>
  <c r="AX93" i="3"/>
  <c r="AT165" i="3"/>
  <c r="AC57" i="3"/>
  <c r="AG82" i="3"/>
  <c r="AG150" i="3"/>
  <c r="AC174" i="3"/>
  <c r="Y165" i="3"/>
  <c r="Q150" i="3"/>
  <c r="Q174" i="3"/>
  <c r="N92" i="3"/>
  <c r="R93" i="3"/>
  <c r="AG18" i="3"/>
  <c r="AX181" i="3"/>
  <c r="E67" i="3"/>
  <c r="BF143" i="3"/>
  <c r="BE67" i="3"/>
  <c r="BF67" i="3"/>
  <c r="BF57" i="3"/>
  <c r="AW143" i="3"/>
  <c r="BF92" i="3"/>
  <c r="AK92" i="3"/>
  <c r="AK9" i="3"/>
  <c r="AO143" i="3"/>
  <c r="BB9" i="3"/>
  <c r="BF10" i="3"/>
  <c r="AO57" i="3"/>
  <c r="AO33" i="3"/>
  <c r="AO92" i="3"/>
  <c r="AO150" i="3"/>
  <c r="AL33" i="3"/>
  <c r="AL9" i="3"/>
  <c r="AP57" i="3"/>
  <c r="BA33" i="3"/>
  <c r="BA67" i="3"/>
  <c r="BB33" i="3"/>
  <c r="BB92" i="3"/>
  <c r="AC165" i="3"/>
  <c r="AC18" i="3"/>
  <c r="Z10" i="3"/>
  <c r="V82" i="3"/>
  <c r="Z104" i="3"/>
  <c r="AL67" i="3"/>
  <c r="AL92" i="3"/>
  <c r="AD92" i="3"/>
  <c r="AH93" i="3"/>
  <c r="AH143" i="3"/>
  <c r="AH57" i="3"/>
  <c r="U165" i="3"/>
  <c r="U143" i="3"/>
  <c r="U174" i="3"/>
  <c r="M92" i="3"/>
  <c r="AP18" i="3"/>
  <c r="N165" i="3"/>
  <c r="R166" i="3"/>
  <c r="BA92" i="3"/>
  <c r="BA165" i="3"/>
  <c r="BA143" i="3"/>
  <c r="BE174" i="3"/>
  <c r="BF33" i="3"/>
  <c r="BE92" i="3"/>
  <c r="AW165" i="3"/>
  <c r="AS33" i="3"/>
  <c r="AS57" i="3"/>
  <c r="AS67" i="3"/>
  <c r="AW82" i="3"/>
  <c r="AS82" i="3"/>
  <c r="AT33" i="3"/>
  <c r="AT18" i="3"/>
  <c r="AT9" i="3"/>
  <c r="AX10" i="3"/>
  <c r="AT150" i="3"/>
  <c r="AX151" i="3"/>
  <c r="AX143" i="3"/>
  <c r="AX57" i="3"/>
  <c r="AO9" i="3"/>
  <c r="AO18" i="3"/>
  <c r="AK174" i="3"/>
  <c r="AP82" i="3"/>
  <c r="AP143" i="3"/>
  <c r="AC67" i="3"/>
  <c r="AC92" i="3"/>
  <c r="AC143" i="3"/>
  <c r="AC150" i="3"/>
  <c r="AD143" i="3"/>
  <c r="AH144" i="3"/>
  <c r="AD82" i="3"/>
  <c r="AH9" i="3"/>
  <c r="AH10" i="3"/>
  <c r="AH165" i="3"/>
  <c r="AH82" i="3"/>
  <c r="AH150" i="3"/>
  <c r="AH151" i="3"/>
  <c r="U67" i="3"/>
  <c r="U92" i="3"/>
  <c r="V92" i="3"/>
  <c r="Z67" i="3"/>
  <c r="Q67" i="3"/>
  <c r="M143" i="3"/>
  <c r="BE9" i="3"/>
  <c r="N82" i="3"/>
  <c r="R83" i="3"/>
  <c r="N143" i="3"/>
  <c r="AT174" i="3"/>
  <c r="V174" i="3"/>
  <c r="BB174" i="3"/>
  <c r="AL174" i="3"/>
  <c r="I9" i="3"/>
  <c r="J58" i="3"/>
  <c r="AP104" i="3"/>
  <c r="AP67" i="3"/>
  <c r="AP92" i="3"/>
  <c r="AD67" i="3"/>
  <c r="AH18" i="3"/>
  <c r="V33" i="3"/>
  <c r="V67" i="3"/>
  <c r="Z92" i="3"/>
  <c r="M82" i="3"/>
  <c r="N150" i="3"/>
  <c r="R151" i="3"/>
  <c r="AD174" i="3"/>
  <c r="BB143" i="3"/>
  <c r="BB18" i="3"/>
  <c r="BB165" i="3"/>
  <c r="BB57" i="3"/>
  <c r="AW67" i="3"/>
  <c r="AS92" i="3"/>
  <c r="BF82" i="3"/>
  <c r="BF18" i="3"/>
  <c r="BF150" i="3"/>
  <c r="BF151" i="3"/>
  <c r="AT67" i="3"/>
  <c r="AX92" i="3"/>
  <c r="AL57" i="3"/>
  <c r="AP33" i="3"/>
  <c r="AP165" i="3"/>
  <c r="AP166" i="3"/>
  <c r="AG67" i="3"/>
  <c r="AG92" i="3"/>
  <c r="AD33" i="3"/>
  <c r="AD165" i="3"/>
  <c r="Y67" i="3"/>
  <c r="Y92" i="3"/>
  <c r="Y82" i="3"/>
  <c r="U150" i="3"/>
  <c r="Z165" i="3"/>
  <c r="Z166" i="3"/>
  <c r="M57" i="3"/>
  <c r="M165" i="3"/>
  <c r="M174" i="3"/>
  <c r="Q9" i="3"/>
  <c r="N67" i="3"/>
  <c r="AG143" i="3"/>
  <c r="V18" i="3"/>
  <c r="BB82" i="3"/>
  <c r="BF83" i="3"/>
  <c r="N9" i="3"/>
  <c r="R10" i="3"/>
  <c r="AX174" i="3"/>
  <c r="BF174" i="3"/>
  <c r="I18" i="3"/>
  <c r="J34" i="3"/>
  <c r="E92" i="3"/>
  <c r="N33" i="3"/>
  <c r="AW57" i="3"/>
  <c r="AT82" i="3"/>
  <c r="AX82" i="3"/>
  <c r="AH34" i="3"/>
  <c r="V57" i="3"/>
  <c r="Z143" i="3"/>
  <c r="Z144" i="3"/>
  <c r="Z33" i="3"/>
  <c r="AS18" i="3"/>
  <c r="AX165" i="3"/>
  <c r="AX166" i="3"/>
  <c r="AH33" i="3"/>
  <c r="AT57" i="3"/>
  <c r="AL18" i="3"/>
  <c r="AP181" i="3"/>
  <c r="AD18" i="3"/>
  <c r="AH19" i="3"/>
  <c r="AS165" i="3"/>
  <c r="AT143" i="3"/>
  <c r="M18" i="3"/>
  <c r="BA57" i="3"/>
  <c r="BA82" i="3"/>
  <c r="BF104" i="3"/>
  <c r="AK33" i="3"/>
  <c r="AK165" i="3"/>
  <c r="AL82" i="3"/>
  <c r="AG33" i="3"/>
  <c r="AG165" i="3"/>
  <c r="AG174" i="3"/>
  <c r="U9" i="3"/>
  <c r="Z181" i="3"/>
  <c r="Z18" i="3"/>
  <c r="M33" i="3"/>
  <c r="BF181" i="3"/>
  <c r="N174" i="3"/>
  <c r="AP174" i="3"/>
  <c r="I57" i="3"/>
  <c r="I150" i="3"/>
  <c r="AX18" i="3"/>
  <c r="AK143" i="3"/>
  <c r="Z82" i="3"/>
  <c r="N57" i="3"/>
  <c r="R58" i="3"/>
  <c r="BA9" i="3"/>
  <c r="BE143" i="3"/>
  <c r="BE82" i="3"/>
  <c r="AS143" i="3"/>
  <c r="AS174" i="3"/>
  <c r="AX33" i="3"/>
  <c r="AX34" i="3"/>
  <c r="AK57" i="3"/>
  <c r="AO82" i="3"/>
  <c r="AO165" i="3"/>
  <c r="AK18" i="3"/>
  <c r="AK82" i="3"/>
  <c r="AP9" i="3"/>
  <c r="AC9" i="3"/>
  <c r="AC33" i="3"/>
  <c r="AD57" i="3"/>
  <c r="AH104" i="3"/>
  <c r="U33" i="3"/>
  <c r="U82" i="3"/>
  <c r="Y18" i="3"/>
  <c r="Z151" i="3"/>
  <c r="J181" i="3"/>
  <c r="I33" i="3"/>
  <c r="J104" i="3"/>
  <c r="J144" i="3"/>
  <c r="I165" i="3"/>
  <c r="I174" i="3"/>
  <c r="E18" i="3"/>
  <c r="E174" i="3"/>
  <c r="E165" i="3"/>
  <c r="E143" i="3"/>
  <c r="E82" i="3"/>
  <c r="E57" i="3"/>
  <c r="E33" i="3"/>
  <c r="E9" i="3"/>
  <c r="J10" i="3"/>
  <c r="AH58" i="3"/>
  <c r="AP58" i="3"/>
  <c r="BF19" i="3"/>
  <c r="BF58" i="3"/>
  <c r="AP93" i="3"/>
  <c r="AP34" i="3"/>
  <c r="BF144" i="3"/>
  <c r="Z83" i="3"/>
  <c r="BF166" i="3"/>
  <c r="Z34" i="3"/>
  <c r="Z93" i="3"/>
  <c r="AH83" i="3"/>
  <c r="BF34" i="3"/>
  <c r="BF93" i="3"/>
  <c r="AX104" i="3"/>
  <c r="AP83" i="3"/>
  <c r="AX58" i="3"/>
  <c r="Z19" i="3"/>
  <c r="AX144" i="3"/>
  <c r="AX83" i="3"/>
  <c r="AH166" i="3"/>
  <c r="AP10" i="3"/>
  <c r="AP19" i="3"/>
  <c r="Z58" i="3"/>
  <c r="AX19" i="3"/>
  <c r="C185" i="3"/>
  <c r="AF185" i="3"/>
  <c r="T185" i="3"/>
  <c r="AH185" i="3"/>
  <c r="BD185" i="3"/>
  <c r="BA185" i="3"/>
  <c r="Z68" i="3"/>
  <c r="X185" i="3"/>
  <c r="K185" i="3"/>
  <c r="AG185" i="3"/>
  <c r="AJ185" i="3"/>
  <c r="AE185" i="3"/>
  <c r="E185" i="3"/>
  <c r="AM185" i="3"/>
  <c r="AX185" i="3"/>
  <c r="AA185" i="3"/>
  <c r="AP185" i="3"/>
  <c r="AS185" i="3"/>
  <c r="AP68" i="3"/>
  <c r="AH68" i="3"/>
  <c r="Z185" i="3"/>
  <c r="W185" i="3"/>
  <c r="BC185" i="3"/>
  <c r="BF68" i="3"/>
  <c r="D185" i="3"/>
  <c r="AX68" i="3"/>
  <c r="U185" i="3"/>
  <c r="AW185" i="3"/>
  <c r="AT185" i="3"/>
  <c r="AX186" i="3"/>
  <c r="L185" i="3"/>
  <c r="BE185" i="3"/>
  <c r="Y185" i="3"/>
  <c r="AV185" i="3"/>
  <c r="BF185" i="3"/>
  <c r="AO185" i="3"/>
  <c r="AC185" i="3"/>
  <c r="AD185" i="3"/>
  <c r="AH186" i="3"/>
  <c r="AQ185" i="3"/>
  <c r="AL185" i="3"/>
  <c r="AP186" i="3"/>
  <c r="AK185" i="3"/>
  <c r="AU185" i="3"/>
  <c r="V185" i="3"/>
  <c r="AB185" i="3"/>
  <c r="AN185" i="3"/>
  <c r="AI185" i="3"/>
  <c r="AY185" i="3"/>
  <c r="AR185" i="3"/>
  <c r="J68" i="3"/>
  <c r="BB185" i="3"/>
  <c r="BF186" i="3"/>
  <c r="AZ185" i="3"/>
  <c r="S185" i="3"/>
  <c r="F185" i="3"/>
  <c r="N185" i="3"/>
  <c r="Z186" i="3"/>
  <c r="P185" i="3" l="1"/>
  <c r="J185" i="3"/>
  <c r="J186" i="3" s="1"/>
  <c r="G185" i="3"/>
  <c r="O185" i="3"/>
  <c r="Q57" i="3"/>
  <c r="I185" i="3"/>
  <c r="R185" i="3"/>
  <c r="R186" i="3" s="1"/>
  <c r="Q185" i="3"/>
</calcChain>
</file>

<file path=xl/sharedStrings.xml><?xml version="1.0" encoding="utf-8"?>
<sst xmlns="http://schemas.openxmlformats.org/spreadsheetml/2006/main" count="1321" uniqueCount="266">
  <si>
    <t>FT</t>
  </si>
  <si>
    <t>PT</t>
  </si>
  <si>
    <t>MISC</t>
  </si>
  <si>
    <t>Nonmatriculated students</t>
  </si>
  <si>
    <t>Institution</t>
  </si>
  <si>
    <t>Head</t>
  </si>
  <si>
    <t>FTE</t>
  </si>
  <si>
    <t>TOTALS</t>
  </si>
  <si>
    <t>AAFTE</t>
  </si>
  <si>
    <t>Shaded cells represent semesters when the program was inactive.</t>
  </si>
  <si>
    <t>69</t>
  </si>
  <si>
    <t>AST</t>
  </si>
  <si>
    <t>57</t>
  </si>
  <si>
    <t>55</t>
  </si>
  <si>
    <t>95</t>
  </si>
  <si>
    <t>YC</t>
  </si>
  <si>
    <t>58</t>
  </si>
  <si>
    <t>83</t>
  </si>
  <si>
    <t>90</t>
  </si>
  <si>
    <t>92</t>
  </si>
  <si>
    <t>CS</t>
  </si>
  <si>
    <t>81</t>
  </si>
  <si>
    <t>QA</t>
  </si>
  <si>
    <t>02</t>
  </si>
  <si>
    <t>97</t>
  </si>
  <si>
    <t>93</t>
  </si>
  <si>
    <t>96</t>
  </si>
  <si>
    <t>TF</t>
  </si>
  <si>
    <t>QB</t>
  </si>
  <si>
    <t>03</t>
  </si>
  <si>
    <t>PC</t>
  </si>
  <si>
    <t>QG</t>
  </si>
  <si>
    <t>QH</t>
  </si>
  <si>
    <t>TM</t>
  </si>
  <si>
    <t>56</t>
  </si>
  <si>
    <t>Administrative Assistant AAS</t>
  </si>
  <si>
    <t>Administrative Assistant Cer</t>
  </si>
  <si>
    <t>Business Management AAS</t>
  </si>
  <si>
    <t>Business-Accounting AAS</t>
  </si>
  <si>
    <t>Business-Business Admin AS</t>
  </si>
  <si>
    <t>Chef Training Cer</t>
  </si>
  <si>
    <t>Computer Info Systems AAS</t>
  </si>
  <si>
    <t>Computer Science AS</t>
  </si>
  <si>
    <t>Criminal Justice AAS</t>
  </si>
  <si>
    <t>Culinary Arts Management AOS</t>
  </si>
  <si>
    <t>Cybersecurity Cer</t>
  </si>
  <si>
    <t>Finance Cer</t>
  </si>
  <si>
    <t>Financial Services Management AAS</t>
  </si>
  <si>
    <t>Food Svc Adm-Restaur Mgt AAS</t>
  </si>
  <si>
    <t>Hotel Tech: Mtng Srvc Mngt AAS</t>
  </si>
  <si>
    <t>Insurance Cer</t>
  </si>
  <si>
    <t>Lib Arts &amp; Sci: Public Policy AAS</t>
  </si>
  <si>
    <t>Managerial Accounting Cer</t>
  </si>
  <si>
    <t>Small Business Management Cer</t>
  </si>
  <si>
    <t>Supervisory Management Cer</t>
  </si>
  <si>
    <t>Transportation Management</t>
  </si>
  <si>
    <t>Web Development and Information Design AAS</t>
  </si>
  <si>
    <t>09</t>
  </si>
  <si>
    <t>11</t>
  </si>
  <si>
    <t>07</t>
  </si>
  <si>
    <t>37</t>
  </si>
  <si>
    <t>AM</t>
  </si>
  <si>
    <t>13</t>
  </si>
  <si>
    <t>12</t>
  </si>
  <si>
    <t>14</t>
  </si>
  <si>
    <t>35</t>
  </si>
  <si>
    <t>38</t>
  </si>
  <si>
    <t>04</t>
  </si>
  <si>
    <t>AB</t>
  </si>
  <si>
    <t>AL</t>
  </si>
  <si>
    <t>Advertising-Photography AAS</t>
  </si>
  <si>
    <t>Advtg-Media Marketng&amp;Mgt AAS</t>
  </si>
  <si>
    <t>Digital Animation AAS</t>
  </si>
  <si>
    <t>Fine Arts AS</t>
  </si>
  <si>
    <t>Graphic Communication Cer</t>
  </si>
  <si>
    <t>Graphic Arts Technology AAS</t>
  </si>
  <si>
    <t>Graphic Design AAS</t>
  </si>
  <si>
    <t>Illustration AAS</t>
  </si>
  <si>
    <t>Lib Arts&amp;Sci-Human&amp;SocSci AA</t>
  </si>
  <si>
    <t>Interntnl Study AA</t>
  </si>
  <si>
    <t>Lib Arts&amp;Sci-Theater AA</t>
  </si>
  <si>
    <t>Media Marketing &amp; Mgmt Cer</t>
  </si>
  <si>
    <t>Photography Cer</t>
  </si>
  <si>
    <t>77</t>
  </si>
  <si>
    <t>ES</t>
  </si>
  <si>
    <t>5A</t>
  </si>
  <si>
    <t>5C</t>
  </si>
  <si>
    <t>32</t>
  </si>
  <si>
    <t>34</t>
  </si>
  <si>
    <t>Educational Sign Language Interp</t>
  </si>
  <si>
    <t>English As A Second Language Cer</t>
  </si>
  <si>
    <t>LA&amp;S-Adolescent Education AS</t>
  </si>
  <si>
    <t>LA&amp;S-Childhood Education AS</t>
  </si>
  <si>
    <t>LA/GS-Oneonta Childhood Ed AS</t>
  </si>
  <si>
    <t>Lib Arts&amp;Sci-Gen Study 32 AS</t>
  </si>
  <si>
    <t>Lib Arts&amp; Sci-Gen Study-34 AS</t>
  </si>
  <si>
    <t>ZC</t>
  </si>
  <si>
    <t>67</t>
  </si>
  <si>
    <t>CO</t>
  </si>
  <si>
    <t>78</t>
  </si>
  <si>
    <t>48</t>
  </si>
  <si>
    <t>47</t>
  </si>
  <si>
    <t>65</t>
  </si>
  <si>
    <t>ZF</t>
  </si>
  <si>
    <t>86</t>
  </si>
  <si>
    <t>89</t>
  </si>
  <si>
    <t>84</t>
  </si>
  <si>
    <t>85</t>
  </si>
  <si>
    <t>79</t>
  </si>
  <si>
    <t>ZB</t>
  </si>
  <si>
    <t>39</t>
  </si>
  <si>
    <t>45</t>
  </si>
  <si>
    <t>94</t>
  </si>
  <si>
    <t>76</t>
  </si>
  <si>
    <t>49</t>
  </si>
  <si>
    <t>ST</t>
  </si>
  <si>
    <t>Allied Health Care Cer</t>
  </si>
  <si>
    <t>Chemical Depend Practitioner AAS</t>
  </si>
  <si>
    <t>Coaching Cer</t>
  </si>
  <si>
    <t>Emergency Medical Service/Paramedic AAS</t>
  </si>
  <si>
    <t>Health St-Radiologic Tech AS</t>
  </si>
  <si>
    <t>Human Services AAS</t>
  </si>
  <si>
    <t>Individual Studies: Allied Health Cer</t>
  </si>
  <si>
    <t>Lib Arts &amp; Sci-Math&amp;Sci (Bio) AS</t>
  </si>
  <si>
    <t>Lib Art &amp; Sci-Math&amp;Sci (Forr) AS</t>
  </si>
  <si>
    <t>Lib Arts &amp; Sci-Math&amp;Sci (Phed) AS</t>
  </si>
  <si>
    <t>Lib Arts &amp; Sci-Math&amp;Sci (Sci) AS</t>
  </si>
  <si>
    <t>LAS/Psychology</t>
  </si>
  <si>
    <t>Medical Assistant Cer</t>
  </si>
  <si>
    <t>Medical Assisting AAS</t>
  </si>
  <si>
    <t>Nursing AAS</t>
  </si>
  <si>
    <t>Nutrition &amp; Dietetics AS</t>
  </si>
  <si>
    <t>Recreation &amp; Leisure Services AAS</t>
  </si>
  <si>
    <t>Respiratory Care AAS</t>
  </si>
  <si>
    <t>Surgical Technician Cer</t>
  </si>
  <si>
    <t>52</t>
  </si>
  <si>
    <t>AP</t>
  </si>
  <si>
    <t>27</t>
  </si>
  <si>
    <t>YA</t>
  </si>
  <si>
    <t>06</t>
  </si>
  <si>
    <t>25</t>
  </si>
  <si>
    <t>MC</t>
  </si>
  <si>
    <t>42</t>
  </si>
  <si>
    <t>UJ</t>
  </si>
  <si>
    <t>30</t>
  </si>
  <si>
    <t>31</t>
  </si>
  <si>
    <t>TC</t>
  </si>
  <si>
    <t>70</t>
  </si>
  <si>
    <t>74</t>
  </si>
  <si>
    <t>UB</t>
  </si>
  <si>
    <t>TD</t>
  </si>
  <si>
    <t>87</t>
  </si>
  <si>
    <t>80</t>
  </si>
  <si>
    <t>88</t>
  </si>
  <si>
    <t>ME</t>
  </si>
  <si>
    <t>41</t>
  </si>
  <si>
    <t>40</t>
  </si>
  <si>
    <t>53</t>
  </si>
  <si>
    <t>UE</t>
  </si>
  <si>
    <t>98</t>
  </si>
  <si>
    <t>FM</t>
  </si>
  <si>
    <t>21</t>
  </si>
  <si>
    <t>26</t>
  </si>
  <si>
    <t>29</t>
  </si>
  <si>
    <t>UG</t>
  </si>
  <si>
    <t>44</t>
  </si>
  <si>
    <t>Air Cond Tech-Refrigeratn AOS</t>
  </si>
  <si>
    <t>Airframe &amp; Powerplant Tech Cer</t>
  </si>
  <si>
    <t>Building Mgt&amp;Maintenance AAS</t>
  </si>
  <si>
    <t>Carpentry &amp; Masonry Cer</t>
  </si>
  <si>
    <t>Chemical Technology AAS</t>
  </si>
  <si>
    <t>Civil Engineering Tech AAS</t>
  </si>
  <si>
    <t>CNC Machinist Cer</t>
  </si>
  <si>
    <t>Computer Aided Drafting AOS</t>
  </si>
  <si>
    <t>Computer Aided Drafting Cer</t>
  </si>
  <si>
    <t>Electrical Engineer Tech AAS</t>
  </si>
  <si>
    <t>Elect Serv Tech-Elec Maintenance AOS</t>
  </si>
  <si>
    <t>Electronic Technician Cer</t>
  </si>
  <si>
    <t>Engineering Science AS</t>
  </si>
  <si>
    <t>Environ Analysis/Chem Tech</t>
  </si>
  <si>
    <t>Heating &amp; Air Conditiong Cer</t>
  </si>
  <si>
    <t>Individual Studies AS</t>
  </si>
  <si>
    <t>Individual Studies AAS</t>
  </si>
  <si>
    <t>Individual Studies AOS</t>
  </si>
  <si>
    <t>Individual Studies: Bus &amp; Industry Cer</t>
  </si>
  <si>
    <t>Industrial&amp;Commercl Elec Cer</t>
  </si>
  <si>
    <t>Lib Arts &amp; Sci-Math&amp; Sci Phys AS</t>
  </si>
  <si>
    <t>Machinist Tech Cer</t>
  </si>
  <si>
    <t>Manufacturg Productg Tech AOS</t>
  </si>
  <si>
    <t>Mechanical Engineer Tech AAS</t>
  </si>
  <si>
    <t>Mech Tech-Aircraft Maint AAS</t>
  </si>
  <si>
    <t>Refrigeration Cer</t>
  </si>
  <si>
    <t>School Facilities Management AAS</t>
  </si>
  <si>
    <t>School Facilities Management Cer</t>
  </si>
  <si>
    <t>Semiconductor Manufacturing AAS</t>
  </si>
  <si>
    <t>Surveying Technology AAS</t>
  </si>
  <si>
    <t>Telecom Technology-Verizon AAS</t>
  </si>
  <si>
    <t>Welding Cer</t>
  </si>
  <si>
    <t>Welding Technology AOS</t>
  </si>
  <si>
    <t>3N</t>
  </si>
  <si>
    <t>3Q</t>
  </si>
  <si>
    <t>3R</t>
  </si>
  <si>
    <t>3P</t>
  </si>
  <si>
    <t>0000</t>
  </si>
  <si>
    <t>Individual Studies AA</t>
  </si>
  <si>
    <t>F11</t>
  </si>
  <si>
    <t>S12</t>
  </si>
  <si>
    <t>0100</t>
  </si>
  <si>
    <t>Geospatial Technology</t>
  </si>
  <si>
    <t>F12</t>
  </si>
  <si>
    <t>S13</t>
  </si>
  <si>
    <t>803</t>
  </si>
  <si>
    <t>Computer Science: Cybersecurity AS</t>
  </si>
  <si>
    <t>901</t>
  </si>
  <si>
    <t>Criminal Justice AS</t>
  </si>
  <si>
    <t>F13</t>
  </si>
  <si>
    <t>S14</t>
  </si>
  <si>
    <t>101</t>
  </si>
  <si>
    <t>Health St-Radiologic Tech AAS</t>
  </si>
  <si>
    <t>LE</t>
  </si>
  <si>
    <t>Criminal Justice: Law Enforcement Cer</t>
  </si>
  <si>
    <t>F14</t>
  </si>
  <si>
    <t>S15</t>
  </si>
  <si>
    <t>EN</t>
  </si>
  <si>
    <t>Entrepreneurship Cer</t>
  </si>
  <si>
    <t>F15</t>
  </si>
  <si>
    <t>S16</t>
  </si>
  <si>
    <t>902</t>
  </si>
  <si>
    <t>Criminal Justice: Law Enforcement AAS</t>
  </si>
  <si>
    <t>Fire Protection Technology AAS</t>
  </si>
  <si>
    <t>MX</t>
  </si>
  <si>
    <t>Mechatronics Cer</t>
  </si>
  <si>
    <t>F16</t>
  </si>
  <si>
    <t>S17</t>
  </si>
  <si>
    <t>ADAI</t>
  </si>
  <si>
    <t>ARTD</t>
  </si>
  <si>
    <t>BCCS</t>
  </si>
  <si>
    <t>Computer Applications Programming AAS</t>
  </si>
  <si>
    <t>EDLS</t>
  </si>
  <si>
    <t>154</t>
  </si>
  <si>
    <t>HLTP</t>
  </si>
  <si>
    <t>HUEN</t>
  </si>
  <si>
    <t>MNSC</t>
  </si>
  <si>
    <t>Lib Art &amp; Sci-Math &amp; Sci (Chem) AS</t>
  </si>
  <si>
    <t>Lib Arts &amp; Sci-Math&amp;Sci  (Math) AS</t>
  </si>
  <si>
    <t>84A</t>
  </si>
  <si>
    <t>Lib Arts &amp; Sci-Math&amp;Sci (SportsMed) AS</t>
  </si>
  <si>
    <t>PSAT</t>
  </si>
  <si>
    <t>401</t>
  </si>
  <si>
    <t>85G</t>
  </si>
  <si>
    <t>Lib Arts &amp; Sci-Math&amp;Sci (Geol) AS</t>
  </si>
  <si>
    <t>ROME</t>
  </si>
  <si>
    <t>SSPS</t>
  </si>
  <si>
    <t>Hlth Info Tech AAS</t>
  </si>
  <si>
    <t>17</t>
  </si>
  <si>
    <t>EST:Fiber optics</t>
  </si>
  <si>
    <t>28</t>
  </si>
  <si>
    <t>Telecom Technology AAS</t>
  </si>
  <si>
    <t>RB</t>
  </si>
  <si>
    <t>Surveying Cer</t>
  </si>
  <si>
    <t>All data up to and including Fall 2016 is SIRIS ESS data</t>
  </si>
  <si>
    <t>MULTIPLE DEPARTMENTS</t>
  </si>
  <si>
    <t>APER</t>
  </si>
  <si>
    <t>F17</t>
  </si>
  <si>
    <t>S18</t>
  </si>
  <si>
    <t>Remotely Piloted Aircraft Systems AAS-T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</si>
</sst>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1" fontId="2" fillId="0" borderId="0" xfId="0" applyNumberFormat="1" applyFont="1" applyAlignment="1">
      <alignment horizontal="center"/>
    </xf>
    <xf numFmtId="0" fontId="2" fillId="0" borderId="0" xfId="0" applyFont="1"/>
    <xf numFmtId="1" fontId="1" fillId="0" borderId="0" xfId="0" applyNumberFormat="1" applyFont="1"/>
    <xf numFmtId="1" fontId="1" fillId="0" borderId="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" fontId="2" fillId="0" borderId="0" xfId="0" applyNumberFormat="1" applyFont="1"/>
    <xf numFmtId="49" fontId="1" fillId="0" borderId="0" xfId="0" applyNumberFormat="1" applyFont="1" applyProtection="1">
      <protection locked="0"/>
    </xf>
    <xf numFmtId="49" fontId="1" fillId="0" borderId="0" xfId="0" applyNumberFormat="1" applyFont="1" applyBorder="1" applyProtection="1">
      <protection locked="0"/>
    </xf>
    <xf numFmtId="49" fontId="1" fillId="0" borderId="1" xfId="0" applyNumberFormat="1" applyFont="1" applyBorder="1" applyProtection="1">
      <protection locked="0"/>
    </xf>
    <xf numFmtId="164" fontId="2" fillId="0" borderId="4" xfId="0" applyNumberFormat="1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1" fillId="0" borderId="4" xfId="0" applyFont="1" applyBorder="1" applyAlignment="1">
      <alignment horizontal="center"/>
    </xf>
    <xf numFmtId="164" fontId="2" fillId="0" borderId="0" xfId="0" applyNumberFormat="1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2" xfId="0" applyNumberFormat="1" applyFont="1" applyBorder="1"/>
    <xf numFmtId="164" fontId="2" fillId="2" borderId="0" xfId="0" applyNumberFormat="1" applyFont="1" applyFill="1" applyAlignment="1">
      <alignment horizontal="center"/>
    </xf>
    <xf numFmtId="164" fontId="2" fillId="0" borderId="0" xfId="0" applyNumberFormat="1" applyFont="1" applyBorder="1"/>
    <xf numFmtId="0" fontId="1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164" fontId="2" fillId="3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209"/>
  <sheetViews>
    <sheetView tabSelected="1" zoomScaleNormal="100" workbookViewId="0"/>
  </sheetViews>
  <sheetFormatPr defaultRowHeight="12.75" x14ac:dyDescent="0.2"/>
  <cols>
    <col min="1" max="1" width="5" style="36" bestFit="1" customWidth="1"/>
    <col min="2" max="2" width="40.85546875" style="1" customWidth="1"/>
    <col min="3" max="4" width="5" style="2" bestFit="1" customWidth="1"/>
    <col min="5" max="5" width="5.7109375" style="3" bestFit="1" customWidth="1"/>
    <col min="6" max="6" width="6.5703125" style="6" bestFit="1" customWidth="1"/>
    <col min="7" max="7" width="4.7109375" style="1" customWidth="1"/>
    <col min="8" max="8" width="5" style="1" bestFit="1" customWidth="1"/>
    <col min="9" max="9" width="7" style="4" bestFit="1" customWidth="1"/>
    <col min="10" max="10" width="6.5703125" style="47" bestFit="1" customWidth="1"/>
    <col min="11" max="12" width="5" style="2" bestFit="1" customWidth="1"/>
    <col min="13" max="13" width="5.7109375" style="3" bestFit="1" customWidth="1"/>
    <col min="14" max="14" width="6.5703125" style="6" bestFit="1" customWidth="1"/>
    <col min="15" max="15" width="4" style="1" bestFit="1" customWidth="1"/>
    <col min="16" max="16" width="5" style="1" bestFit="1" customWidth="1"/>
    <col min="17" max="17" width="7" style="4" bestFit="1" customWidth="1"/>
    <col min="18" max="18" width="6.5703125" style="47" bestFit="1" customWidth="1"/>
    <col min="19" max="20" width="5" style="2" bestFit="1" customWidth="1"/>
    <col min="21" max="21" width="5.7109375" style="3" bestFit="1" customWidth="1"/>
    <col min="22" max="22" width="6.5703125" style="6" bestFit="1" customWidth="1"/>
    <col min="23" max="24" width="5" style="1" bestFit="1" customWidth="1"/>
    <col min="25" max="25" width="7" style="4" bestFit="1" customWidth="1"/>
    <col min="26" max="26" width="6.5703125" style="47" bestFit="1" customWidth="1"/>
    <col min="27" max="28" width="5" style="2" bestFit="1" customWidth="1"/>
    <col min="29" max="29" width="5.7109375" style="3" bestFit="1" customWidth="1"/>
    <col min="30" max="30" width="6.5703125" style="6" bestFit="1" customWidth="1"/>
    <col min="31" max="32" width="5" style="1" bestFit="1" customWidth="1"/>
    <col min="33" max="33" width="7" style="4" bestFit="1" customWidth="1"/>
    <col min="34" max="34" width="6.5703125" style="47" bestFit="1" customWidth="1"/>
    <col min="35" max="36" width="5" style="2" bestFit="1" customWidth="1"/>
    <col min="37" max="37" width="5.7109375" style="3" bestFit="1" customWidth="1"/>
    <col min="38" max="38" width="6.5703125" style="6" bestFit="1" customWidth="1"/>
    <col min="39" max="40" width="5" style="1" bestFit="1" customWidth="1"/>
    <col min="41" max="41" width="7" style="4" bestFit="1" customWidth="1"/>
    <col min="42" max="42" width="6.5703125" style="47" bestFit="1" customWidth="1"/>
    <col min="43" max="44" width="5" style="2" bestFit="1" customWidth="1"/>
    <col min="45" max="45" width="5.7109375" style="3" bestFit="1" customWidth="1"/>
    <col min="46" max="46" width="6.5703125" style="6" bestFit="1" customWidth="1"/>
    <col min="47" max="48" width="5" style="1" bestFit="1" customWidth="1"/>
    <col min="49" max="49" width="7" style="4" bestFit="1" customWidth="1"/>
    <col min="50" max="50" width="6.5703125" style="47" bestFit="1" customWidth="1"/>
    <col min="51" max="52" width="5" style="2" bestFit="1" customWidth="1"/>
    <col min="53" max="53" width="5.7109375" style="3" bestFit="1" customWidth="1"/>
    <col min="54" max="54" width="6.5703125" style="6" bestFit="1" customWidth="1"/>
    <col min="55" max="56" width="5" style="1" bestFit="1" customWidth="1"/>
    <col min="57" max="57" width="7" style="4" bestFit="1" customWidth="1"/>
    <col min="58" max="58" width="6.5703125" style="47" bestFit="1" customWidth="1"/>
    <col min="59" max="16384" width="9.140625" style="1"/>
  </cols>
  <sheetData>
    <row r="1" spans="1:147" x14ac:dyDescent="0.2">
      <c r="B1" s="1" t="s">
        <v>260</v>
      </c>
      <c r="C1" s="1"/>
      <c r="K1" s="1"/>
      <c r="S1" s="1"/>
      <c r="AA1" s="1"/>
      <c r="AI1" s="1"/>
      <c r="AQ1" s="1"/>
      <c r="AY1" s="1"/>
    </row>
    <row r="2" spans="1:147" x14ac:dyDescent="0.2">
      <c r="B2" s="1" t="s">
        <v>9</v>
      </c>
      <c r="J2" s="49"/>
      <c r="R2" s="49"/>
      <c r="Z2" s="49"/>
      <c r="AH2" s="49"/>
      <c r="AP2" s="49"/>
      <c r="AX2" s="49"/>
      <c r="BF2" s="49"/>
    </row>
    <row r="3" spans="1:147" x14ac:dyDescent="0.2">
      <c r="B3" s="8"/>
      <c r="E3" s="3" t="s">
        <v>263</v>
      </c>
      <c r="F3" s="21"/>
      <c r="I3" s="3" t="s">
        <v>264</v>
      </c>
      <c r="J3" s="6"/>
      <c r="M3" s="3" t="s">
        <v>232</v>
      </c>
      <c r="N3" s="21"/>
      <c r="Q3" s="3" t="s">
        <v>233</v>
      </c>
      <c r="R3" s="6"/>
      <c r="U3" s="3" t="s">
        <v>225</v>
      </c>
      <c r="V3" s="21"/>
      <c r="Y3" s="3" t="s">
        <v>226</v>
      </c>
      <c r="Z3" s="6"/>
      <c r="AC3" s="3" t="s">
        <v>221</v>
      </c>
      <c r="AD3" s="21"/>
      <c r="AG3" s="3" t="s">
        <v>222</v>
      </c>
      <c r="AH3" s="6"/>
      <c r="AK3" s="3" t="s">
        <v>215</v>
      </c>
      <c r="AL3" s="21"/>
      <c r="AO3" s="3" t="s">
        <v>216</v>
      </c>
      <c r="AP3" s="6"/>
      <c r="AS3" s="3" t="s">
        <v>209</v>
      </c>
      <c r="AT3" s="21"/>
      <c r="AW3" s="3" t="s">
        <v>210</v>
      </c>
      <c r="AX3" s="6"/>
      <c r="BA3" s="3" t="s">
        <v>205</v>
      </c>
      <c r="BB3" s="21"/>
      <c r="BE3" s="3" t="s">
        <v>206</v>
      </c>
      <c r="BF3" s="6"/>
    </row>
    <row r="4" spans="1:147" x14ac:dyDescent="0.2">
      <c r="B4" s="42" t="s">
        <v>234</v>
      </c>
      <c r="C4" s="2" t="s">
        <v>0</v>
      </c>
      <c r="D4" s="2" t="s">
        <v>1</v>
      </c>
      <c r="E4" s="7" t="s">
        <v>5</v>
      </c>
      <c r="F4" s="6" t="s">
        <v>6</v>
      </c>
      <c r="G4" s="2" t="s">
        <v>0</v>
      </c>
      <c r="H4" s="2" t="s">
        <v>1</v>
      </c>
      <c r="I4" s="7" t="s">
        <v>5</v>
      </c>
      <c r="J4" s="6" t="s">
        <v>6</v>
      </c>
      <c r="K4" s="2" t="s">
        <v>0</v>
      </c>
      <c r="L4" s="2" t="s">
        <v>1</v>
      </c>
      <c r="M4" s="7" t="s">
        <v>5</v>
      </c>
      <c r="N4" s="6" t="s">
        <v>6</v>
      </c>
      <c r="O4" s="2" t="s">
        <v>0</v>
      </c>
      <c r="P4" s="2" t="s">
        <v>1</v>
      </c>
      <c r="Q4" s="7" t="s">
        <v>5</v>
      </c>
      <c r="R4" s="6" t="s">
        <v>6</v>
      </c>
      <c r="S4" s="2" t="s">
        <v>0</v>
      </c>
      <c r="T4" s="2" t="s">
        <v>1</v>
      </c>
      <c r="U4" s="7" t="s">
        <v>5</v>
      </c>
      <c r="V4" s="6" t="s">
        <v>6</v>
      </c>
      <c r="W4" s="2" t="s">
        <v>0</v>
      </c>
      <c r="X4" s="2" t="s">
        <v>1</v>
      </c>
      <c r="Y4" s="7" t="s">
        <v>5</v>
      </c>
      <c r="Z4" s="6" t="s">
        <v>6</v>
      </c>
      <c r="AA4" s="2" t="s">
        <v>0</v>
      </c>
      <c r="AB4" s="2" t="s">
        <v>1</v>
      </c>
      <c r="AC4" s="7" t="s">
        <v>5</v>
      </c>
      <c r="AD4" s="6" t="s">
        <v>6</v>
      </c>
      <c r="AE4" s="2" t="s">
        <v>0</v>
      </c>
      <c r="AF4" s="2" t="s">
        <v>1</v>
      </c>
      <c r="AG4" s="7" t="s">
        <v>5</v>
      </c>
      <c r="AH4" s="6" t="s">
        <v>6</v>
      </c>
      <c r="AI4" s="2" t="s">
        <v>0</v>
      </c>
      <c r="AJ4" s="2" t="s">
        <v>1</v>
      </c>
      <c r="AK4" s="7" t="s">
        <v>5</v>
      </c>
      <c r="AL4" s="6" t="s">
        <v>6</v>
      </c>
      <c r="AM4" s="2" t="s">
        <v>0</v>
      </c>
      <c r="AN4" s="2" t="s">
        <v>1</v>
      </c>
      <c r="AO4" s="7" t="s">
        <v>5</v>
      </c>
      <c r="AP4" s="6" t="s">
        <v>6</v>
      </c>
      <c r="AQ4" s="2" t="s">
        <v>0</v>
      </c>
      <c r="AR4" s="2" t="s">
        <v>1</v>
      </c>
      <c r="AS4" s="7" t="s">
        <v>5</v>
      </c>
      <c r="AT4" s="6" t="s">
        <v>6</v>
      </c>
      <c r="AU4" s="2" t="s">
        <v>0</v>
      </c>
      <c r="AV4" s="2" t="s">
        <v>1</v>
      </c>
      <c r="AW4" s="7" t="s">
        <v>5</v>
      </c>
      <c r="AX4" s="6" t="s">
        <v>6</v>
      </c>
      <c r="AY4" s="2" t="s">
        <v>0</v>
      </c>
      <c r="AZ4" s="2" t="s">
        <v>1</v>
      </c>
      <c r="BA4" s="7" t="s">
        <v>5</v>
      </c>
      <c r="BB4" s="6" t="s">
        <v>6</v>
      </c>
      <c r="BC4" s="2" t="s">
        <v>0</v>
      </c>
      <c r="BD4" s="2" t="s">
        <v>1</v>
      </c>
      <c r="BE4" s="7" t="s">
        <v>5</v>
      </c>
      <c r="BF4" s="6" t="s">
        <v>6</v>
      </c>
    </row>
    <row r="5" spans="1:147" x14ac:dyDescent="0.2">
      <c r="A5" s="37" t="s">
        <v>15</v>
      </c>
      <c r="B5" s="8" t="s">
        <v>40</v>
      </c>
      <c r="C5" s="5">
        <v>7</v>
      </c>
      <c r="D5" s="5">
        <v>2</v>
      </c>
      <c r="E5" s="7">
        <f>SUM(C5:D5)</f>
        <v>9</v>
      </c>
      <c r="F5" s="6">
        <v>6.9</v>
      </c>
      <c r="G5" s="5"/>
      <c r="H5" s="5"/>
      <c r="I5" s="7">
        <f>SUM(G5:H5)</f>
        <v>0</v>
      </c>
      <c r="J5" s="23"/>
      <c r="K5" s="5">
        <v>8</v>
      </c>
      <c r="L5" s="5">
        <v>0</v>
      </c>
      <c r="M5" s="7">
        <f>SUM(K5:L5)</f>
        <v>8</v>
      </c>
      <c r="N5" s="6">
        <f>120/15</f>
        <v>8</v>
      </c>
      <c r="O5" s="5">
        <v>6</v>
      </c>
      <c r="P5" s="5">
        <v>0</v>
      </c>
      <c r="Q5" s="7">
        <v>6</v>
      </c>
      <c r="R5" s="23">
        <v>5.8</v>
      </c>
      <c r="S5" s="5">
        <v>4</v>
      </c>
      <c r="T5" s="5">
        <v>1</v>
      </c>
      <c r="U5" s="7">
        <f>SUM(S5:T5)</f>
        <v>5</v>
      </c>
      <c r="V5" s="6">
        <f>59/15</f>
        <v>3.9333333333333331</v>
      </c>
      <c r="W5" s="5">
        <v>1</v>
      </c>
      <c r="X5" s="5">
        <v>0</v>
      </c>
      <c r="Y5" s="7">
        <f>SUM(W5:X5)</f>
        <v>1</v>
      </c>
      <c r="Z5" s="23">
        <f>16/15</f>
        <v>1.0666666666666667</v>
      </c>
      <c r="AA5" s="5">
        <v>5</v>
      </c>
      <c r="AB5" s="5">
        <v>1</v>
      </c>
      <c r="AC5" s="7">
        <f>SUM(AA5:AB5)</f>
        <v>6</v>
      </c>
      <c r="AD5" s="6">
        <f>83/15</f>
        <v>5.5333333333333332</v>
      </c>
      <c r="AE5" s="5">
        <v>2</v>
      </c>
      <c r="AF5" s="5">
        <v>2</v>
      </c>
      <c r="AG5" s="7">
        <f>SUM(AE5:AF5)</f>
        <v>4</v>
      </c>
      <c r="AH5" s="23">
        <f>46/15</f>
        <v>3.0666666666666669</v>
      </c>
      <c r="AI5" s="5">
        <v>11</v>
      </c>
      <c r="AJ5" s="5">
        <v>2</v>
      </c>
      <c r="AK5" s="7">
        <f>SUM(AI5:AJ5)</f>
        <v>13</v>
      </c>
      <c r="AL5" s="6">
        <f>177.5/15</f>
        <v>11.833333333333334</v>
      </c>
      <c r="AM5" s="5">
        <v>10</v>
      </c>
      <c r="AN5" s="5">
        <v>1</v>
      </c>
      <c r="AO5" s="7">
        <f>SUM(AM5:AN5)</f>
        <v>11</v>
      </c>
      <c r="AP5" s="23">
        <f>156.5/15</f>
        <v>10.433333333333334</v>
      </c>
      <c r="AQ5" s="5">
        <v>8</v>
      </c>
      <c r="AR5" s="5">
        <v>2</v>
      </c>
      <c r="AS5" s="7">
        <f>SUM(AQ5:AR5)</f>
        <v>10</v>
      </c>
      <c r="AT5" s="6">
        <f>136/15</f>
        <v>9.0666666666666664</v>
      </c>
      <c r="AU5" s="5">
        <v>12</v>
      </c>
      <c r="AV5" s="5">
        <v>0</v>
      </c>
      <c r="AW5" s="7">
        <f>SUM(AU5:AV5)</f>
        <v>12</v>
      </c>
      <c r="AX5" s="23">
        <f>183.5/15</f>
        <v>12.233333333333333</v>
      </c>
      <c r="AY5" s="5">
        <v>2</v>
      </c>
      <c r="AZ5" s="5">
        <v>0</v>
      </c>
      <c r="BA5" s="7">
        <f>SUM(AY5:AZ5)</f>
        <v>2</v>
      </c>
      <c r="BB5" s="6">
        <f>25/15</f>
        <v>1.6666666666666667</v>
      </c>
      <c r="BC5" s="5">
        <v>3</v>
      </c>
      <c r="BD5" s="5">
        <v>2</v>
      </c>
      <c r="BE5" s="7">
        <f>SUM(BC5:BD5)</f>
        <v>5</v>
      </c>
      <c r="BF5" s="23">
        <f>59/15</f>
        <v>3.9333333333333331</v>
      </c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</row>
    <row r="6" spans="1:147" x14ac:dyDescent="0.2">
      <c r="A6" s="36" t="s">
        <v>19</v>
      </c>
      <c r="B6" s="8" t="s">
        <v>44</v>
      </c>
      <c r="C6" s="2">
        <v>44</v>
      </c>
      <c r="D6" s="2">
        <v>3</v>
      </c>
      <c r="E6" s="3">
        <f>SUM(C6:D6)</f>
        <v>47</v>
      </c>
      <c r="F6" s="6">
        <v>46</v>
      </c>
      <c r="G6" s="10"/>
      <c r="H6" s="10"/>
      <c r="I6" s="3">
        <f>SUM(G6:H6)</f>
        <v>0</v>
      </c>
      <c r="J6" s="23"/>
      <c r="K6" s="2">
        <v>42</v>
      </c>
      <c r="L6" s="2">
        <v>7</v>
      </c>
      <c r="M6" s="3">
        <f>SUM(K6:L6)</f>
        <v>49</v>
      </c>
      <c r="N6" s="6">
        <f>687/15</f>
        <v>45.8</v>
      </c>
      <c r="O6" s="10">
        <v>38</v>
      </c>
      <c r="P6" s="10">
        <v>4</v>
      </c>
      <c r="Q6" s="3">
        <v>42</v>
      </c>
      <c r="R6" s="23">
        <v>38.700000000000003</v>
      </c>
      <c r="S6" s="2">
        <v>58</v>
      </c>
      <c r="T6" s="2">
        <v>7</v>
      </c>
      <c r="U6" s="3">
        <f>SUM(S6:T6)</f>
        <v>65</v>
      </c>
      <c r="V6" s="6">
        <f>914.5/15</f>
        <v>60.966666666666669</v>
      </c>
      <c r="W6" s="10">
        <v>44</v>
      </c>
      <c r="X6" s="10">
        <v>6</v>
      </c>
      <c r="Y6" s="3">
        <f>SUM(W6:X6)</f>
        <v>50</v>
      </c>
      <c r="Z6" s="23">
        <f>716/15</f>
        <v>47.733333333333334</v>
      </c>
      <c r="AA6" s="2">
        <v>58</v>
      </c>
      <c r="AB6" s="2">
        <v>6</v>
      </c>
      <c r="AC6" s="3">
        <f>SUM(AA6:AB6)</f>
        <v>64</v>
      </c>
      <c r="AD6" s="6">
        <f>915/15</f>
        <v>61</v>
      </c>
      <c r="AE6" s="10">
        <v>44</v>
      </c>
      <c r="AF6" s="10">
        <v>10</v>
      </c>
      <c r="AG6" s="3">
        <f>SUM(AE6:AF6)</f>
        <v>54</v>
      </c>
      <c r="AH6" s="23">
        <f>736.5/15</f>
        <v>49.1</v>
      </c>
      <c r="AI6" s="2">
        <v>77</v>
      </c>
      <c r="AJ6" s="2">
        <v>10</v>
      </c>
      <c r="AK6" s="3">
        <f>SUM(AI6:AJ6)</f>
        <v>87</v>
      </c>
      <c r="AL6" s="6">
        <f>1257.5/15</f>
        <v>83.833333333333329</v>
      </c>
      <c r="AM6" s="10">
        <v>59</v>
      </c>
      <c r="AN6" s="10">
        <v>7</v>
      </c>
      <c r="AO6" s="3">
        <f>SUM(AM6:AN6)</f>
        <v>66</v>
      </c>
      <c r="AP6" s="23">
        <f>1007/15</f>
        <v>67.13333333333334</v>
      </c>
      <c r="AQ6" s="2">
        <v>65</v>
      </c>
      <c r="AR6" s="2">
        <v>11</v>
      </c>
      <c r="AS6" s="3">
        <f>SUM(AQ6:AR6)</f>
        <v>76</v>
      </c>
      <c r="AT6" s="6">
        <f>1080/15</f>
        <v>72</v>
      </c>
      <c r="AU6" s="10">
        <v>59</v>
      </c>
      <c r="AV6" s="10">
        <v>6</v>
      </c>
      <c r="AW6" s="3">
        <f>SUM(AU6:AV6)</f>
        <v>65</v>
      </c>
      <c r="AX6" s="23">
        <f>944/15</f>
        <v>62.93333333333333</v>
      </c>
      <c r="AY6" s="2">
        <v>85</v>
      </c>
      <c r="AZ6" s="2">
        <v>15</v>
      </c>
      <c r="BA6" s="3">
        <f>SUM(AY6:AZ6)</f>
        <v>100</v>
      </c>
      <c r="BB6" s="6">
        <f>(1407.5)/15</f>
        <v>93.833333333333329</v>
      </c>
      <c r="BC6" s="10">
        <v>60</v>
      </c>
      <c r="BD6" s="10">
        <v>9</v>
      </c>
      <c r="BE6" s="3">
        <f>SUM(BC6:BD6)</f>
        <v>69</v>
      </c>
      <c r="BF6" s="23">
        <f>1018.5/15</f>
        <v>67.900000000000006</v>
      </c>
    </row>
    <row r="7" spans="1:147" x14ac:dyDescent="0.2">
      <c r="A7" s="36" t="s">
        <v>25</v>
      </c>
      <c r="B7" s="8" t="s">
        <v>48</v>
      </c>
      <c r="C7" s="2">
        <v>4</v>
      </c>
      <c r="D7" s="2">
        <v>4</v>
      </c>
      <c r="E7" s="3">
        <f>SUM(C7:D7)</f>
        <v>8</v>
      </c>
      <c r="F7" s="6">
        <v>6.3</v>
      </c>
      <c r="G7" s="10"/>
      <c r="H7" s="10"/>
      <c r="I7" s="3">
        <f>SUM(G7:H7)</f>
        <v>0</v>
      </c>
      <c r="J7" s="23"/>
      <c r="K7" s="2">
        <v>5</v>
      </c>
      <c r="L7" s="2">
        <v>2</v>
      </c>
      <c r="M7" s="3">
        <f>SUM(K7:L7)</f>
        <v>7</v>
      </c>
      <c r="N7" s="6">
        <f>85/15</f>
        <v>5.666666666666667</v>
      </c>
      <c r="O7" s="10">
        <v>5</v>
      </c>
      <c r="P7" s="10">
        <v>3</v>
      </c>
      <c r="Q7" s="3">
        <v>8</v>
      </c>
      <c r="R7" s="23">
        <v>5.7</v>
      </c>
      <c r="S7" s="2">
        <v>7</v>
      </c>
      <c r="T7" s="2">
        <v>0</v>
      </c>
      <c r="U7" s="3">
        <f>SUM(S7:T7)</f>
        <v>7</v>
      </c>
      <c r="V7" s="6">
        <f>101.5/15</f>
        <v>6.7666666666666666</v>
      </c>
      <c r="W7" s="10">
        <v>7</v>
      </c>
      <c r="X7" s="10">
        <v>0</v>
      </c>
      <c r="Y7" s="3">
        <f>SUM(W7:X7)</f>
        <v>7</v>
      </c>
      <c r="Z7" s="23">
        <f>107/15</f>
        <v>7.1333333333333337</v>
      </c>
      <c r="AA7" s="2">
        <v>13</v>
      </c>
      <c r="AB7" s="2">
        <v>3</v>
      </c>
      <c r="AC7" s="3">
        <f>SUM(AA7:AB7)</f>
        <v>16</v>
      </c>
      <c r="AD7" s="6">
        <f>200/15</f>
        <v>13.333333333333334</v>
      </c>
      <c r="AE7" s="10">
        <v>9</v>
      </c>
      <c r="AF7" s="10">
        <v>1</v>
      </c>
      <c r="AG7" s="3">
        <f>SUM(AE7:AF7)</f>
        <v>10</v>
      </c>
      <c r="AH7" s="23">
        <f>152/15</f>
        <v>10.133333333333333</v>
      </c>
      <c r="AI7" s="2">
        <v>8</v>
      </c>
      <c r="AJ7" s="2">
        <v>6</v>
      </c>
      <c r="AK7" s="3">
        <f>SUM(AI7:AJ7)</f>
        <v>14</v>
      </c>
      <c r="AL7" s="6">
        <f>167/15</f>
        <v>11.133333333333333</v>
      </c>
      <c r="AM7" s="10">
        <v>10</v>
      </c>
      <c r="AN7" s="10">
        <v>2</v>
      </c>
      <c r="AO7" s="3">
        <f>SUM(AM7:AN7)</f>
        <v>12</v>
      </c>
      <c r="AP7" s="23">
        <f>169.5/15</f>
        <v>11.3</v>
      </c>
      <c r="AQ7" s="2">
        <v>14</v>
      </c>
      <c r="AR7" s="2">
        <v>3</v>
      </c>
      <c r="AS7" s="3">
        <f>SUM(AQ7:AR7)</f>
        <v>17</v>
      </c>
      <c r="AT7" s="6">
        <f>225/15</f>
        <v>15</v>
      </c>
      <c r="AU7" s="10">
        <v>17</v>
      </c>
      <c r="AV7" s="10">
        <v>2</v>
      </c>
      <c r="AW7" s="3">
        <f>SUM(AU7:AV7)</f>
        <v>19</v>
      </c>
      <c r="AX7" s="23">
        <f>275/15</f>
        <v>18.333333333333332</v>
      </c>
      <c r="AY7" s="2">
        <v>10</v>
      </c>
      <c r="AZ7" s="2">
        <v>3</v>
      </c>
      <c r="BA7" s="3">
        <f>SUM(AY7:AZ7)</f>
        <v>13</v>
      </c>
      <c r="BB7" s="6">
        <f>(164)/15</f>
        <v>10.933333333333334</v>
      </c>
      <c r="BC7" s="10">
        <v>12</v>
      </c>
      <c r="BD7" s="10">
        <v>3</v>
      </c>
      <c r="BE7" s="3">
        <f>SUM(BC7:BD7)</f>
        <v>15</v>
      </c>
      <c r="BF7" s="23">
        <f>203.5/15</f>
        <v>13.566666666666666</v>
      </c>
    </row>
    <row r="8" spans="1:147" s="8" customFormat="1" x14ac:dyDescent="0.2">
      <c r="A8" s="36" t="s">
        <v>26</v>
      </c>
      <c r="B8" s="8" t="s">
        <v>49</v>
      </c>
      <c r="C8" s="2">
        <v>8</v>
      </c>
      <c r="D8" s="2">
        <v>0</v>
      </c>
      <c r="E8" s="3">
        <f>SUM(C8:D8)</f>
        <v>8</v>
      </c>
      <c r="F8" s="6">
        <v>8.1</v>
      </c>
      <c r="G8" s="10"/>
      <c r="H8" s="10"/>
      <c r="I8" s="3">
        <f>SUM(G8:H8)</f>
        <v>0</v>
      </c>
      <c r="J8" s="23"/>
      <c r="K8" s="2">
        <v>7</v>
      </c>
      <c r="L8" s="2">
        <v>2</v>
      </c>
      <c r="M8" s="3">
        <f>SUM(K8:L8)</f>
        <v>9</v>
      </c>
      <c r="N8" s="6">
        <f>129/15</f>
        <v>8.6</v>
      </c>
      <c r="O8" s="10">
        <v>4</v>
      </c>
      <c r="P8" s="10">
        <v>0</v>
      </c>
      <c r="Q8" s="3">
        <v>4</v>
      </c>
      <c r="R8" s="23">
        <v>4.3</v>
      </c>
      <c r="S8" s="2">
        <v>14</v>
      </c>
      <c r="T8" s="2">
        <v>2</v>
      </c>
      <c r="U8" s="3">
        <f>SUM(S8:T8)</f>
        <v>16</v>
      </c>
      <c r="V8" s="6">
        <f>226/15</f>
        <v>15.066666666666666</v>
      </c>
      <c r="W8" s="10">
        <v>7</v>
      </c>
      <c r="X8" s="10">
        <v>1</v>
      </c>
      <c r="Y8" s="3">
        <f>SUM(W8:X8)</f>
        <v>8</v>
      </c>
      <c r="Z8" s="23">
        <f>119/15</f>
        <v>7.9333333333333336</v>
      </c>
      <c r="AA8" s="2">
        <v>17</v>
      </c>
      <c r="AB8" s="2">
        <v>3</v>
      </c>
      <c r="AC8" s="3">
        <f>SUM(AA8:AB8)</f>
        <v>20</v>
      </c>
      <c r="AD8" s="6">
        <f>288/15</f>
        <v>19.2</v>
      </c>
      <c r="AE8" s="10">
        <v>14</v>
      </c>
      <c r="AF8" s="10">
        <v>5</v>
      </c>
      <c r="AG8" s="3">
        <f>SUM(AE8:AF8)</f>
        <v>19</v>
      </c>
      <c r="AH8" s="23">
        <f>239.5/15</f>
        <v>15.966666666666667</v>
      </c>
      <c r="AI8" s="2">
        <v>14</v>
      </c>
      <c r="AJ8" s="2">
        <v>5</v>
      </c>
      <c r="AK8" s="3">
        <f>SUM(AI8:AJ8)</f>
        <v>19</v>
      </c>
      <c r="AL8" s="6">
        <f>254.5/15</f>
        <v>16.966666666666665</v>
      </c>
      <c r="AM8" s="10">
        <v>10</v>
      </c>
      <c r="AN8" s="10">
        <v>3</v>
      </c>
      <c r="AO8" s="3">
        <f>SUM(AM8:AN8)</f>
        <v>13</v>
      </c>
      <c r="AP8" s="23">
        <f>181/15</f>
        <v>12.066666666666666</v>
      </c>
      <c r="AQ8" s="2">
        <v>14</v>
      </c>
      <c r="AR8" s="2">
        <v>1</v>
      </c>
      <c r="AS8" s="3">
        <f>SUM(AQ8:AR8)</f>
        <v>15</v>
      </c>
      <c r="AT8" s="6">
        <f>213/15</f>
        <v>14.2</v>
      </c>
      <c r="AU8" s="10">
        <v>14</v>
      </c>
      <c r="AV8" s="10">
        <v>1</v>
      </c>
      <c r="AW8" s="3">
        <f>SUM(AU8:AV8)</f>
        <v>15</v>
      </c>
      <c r="AX8" s="23">
        <f>219.5/15</f>
        <v>14.633333333333333</v>
      </c>
      <c r="AY8" s="2">
        <v>14</v>
      </c>
      <c r="AZ8" s="2">
        <v>2</v>
      </c>
      <c r="BA8" s="3">
        <f>SUM(AY8:AZ8)</f>
        <v>16</v>
      </c>
      <c r="BB8" s="6">
        <f>(240)/15</f>
        <v>16</v>
      </c>
      <c r="BC8" s="10">
        <v>16</v>
      </c>
      <c r="BD8" s="10">
        <v>2</v>
      </c>
      <c r="BE8" s="3">
        <f>SUM(BC8:BD8)</f>
        <v>18</v>
      </c>
      <c r="BF8" s="23">
        <f>258.5/15</f>
        <v>17.233333333333334</v>
      </c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</row>
    <row r="9" spans="1:147" x14ac:dyDescent="0.2">
      <c r="B9" s="27" t="s">
        <v>7</v>
      </c>
      <c r="C9" s="43">
        <f t="shared" ref="C9:J9" si="0">SUM(C5:C8)</f>
        <v>63</v>
      </c>
      <c r="D9" s="43">
        <f t="shared" si="0"/>
        <v>9</v>
      </c>
      <c r="E9" s="45">
        <f t="shared" si="0"/>
        <v>72</v>
      </c>
      <c r="F9" s="39">
        <f t="shared" si="0"/>
        <v>67.3</v>
      </c>
      <c r="G9" s="43">
        <f t="shared" si="0"/>
        <v>0</v>
      </c>
      <c r="H9" s="43">
        <f t="shared" si="0"/>
        <v>0</v>
      </c>
      <c r="I9" s="45">
        <f t="shared" si="0"/>
        <v>0</v>
      </c>
      <c r="J9" s="39">
        <f t="shared" si="0"/>
        <v>0</v>
      </c>
      <c r="K9" s="43">
        <f t="shared" ref="K9:BF9" si="1">SUM(K5:K8)</f>
        <v>62</v>
      </c>
      <c r="L9" s="43">
        <f t="shared" si="1"/>
        <v>11</v>
      </c>
      <c r="M9" s="45">
        <f t="shared" si="1"/>
        <v>73</v>
      </c>
      <c r="N9" s="39">
        <f t="shared" si="1"/>
        <v>68.066666666666663</v>
      </c>
      <c r="O9" s="43">
        <f t="shared" si="1"/>
        <v>53</v>
      </c>
      <c r="P9" s="43">
        <f t="shared" si="1"/>
        <v>7</v>
      </c>
      <c r="Q9" s="45">
        <f t="shared" si="1"/>
        <v>60</v>
      </c>
      <c r="R9" s="39">
        <f t="shared" si="1"/>
        <v>54.5</v>
      </c>
      <c r="S9" s="43">
        <f t="shared" si="1"/>
        <v>83</v>
      </c>
      <c r="T9" s="43">
        <f t="shared" si="1"/>
        <v>10</v>
      </c>
      <c r="U9" s="45">
        <f t="shared" si="1"/>
        <v>93</v>
      </c>
      <c r="V9" s="39">
        <f t="shared" si="1"/>
        <v>86.733333333333334</v>
      </c>
      <c r="W9" s="43">
        <f t="shared" si="1"/>
        <v>59</v>
      </c>
      <c r="X9" s="43">
        <f t="shared" si="1"/>
        <v>7</v>
      </c>
      <c r="Y9" s="45">
        <f t="shared" si="1"/>
        <v>66</v>
      </c>
      <c r="Z9" s="39">
        <f t="shared" si="1"/>
        <v>63.866666666666674</v>
      </c>
      <c r="AA9" s="43">
        <f t="shared" si="1"/>
        <v>93</v>
      </c>
      <c r="AB9" s="43">
        <f t="shared" si="1"/>
        <v>13</v>
      </c>
      <c r="AC9" s="45">
        <f t="shared" si="1"/>
        <v>106</v>
      </c>
      <c r="AD9" s="39">
        <f t="shared" si="1"/>
        <v>99.066666666666663</v>
      </c>
      <c r="AE9" s="43">
        <f t="shared" si="1"/>
        <v>69</v>
      </c>
      <c r="AF9" s="43">
        <f t="shared" si="1"/>
        <v>18</v>
      </c>
      <c r="AG9" s="45">
        <f t="shared" si="1"/>
        <v>87</v>
      </c>
      <c r="AH9" s="39">
        <f t="shared" si="1"/>
        <v>78.266666666666666</v>
      </c>
      <c r="AI9" s="43">
        <f t="shared" si="1"/>
        <v>110</v>
      </c>
      <c r="AJ9" s="43">
        <f t="shared" si="1"/>
        <v>23</v>
      </c>
      <c r="AK9" s="45">
        <f t="shared" si="1"/>
        <v>133</v>
      </c>
      <c r="AL9" s="39">
        <f t="shared" si="1"/>
        <v>123.76666666666665</v>
      </c>
      <c r="AM9" s="43">
        <f t="shared" si="1"/>
        <v>89</v>
      </c>
      <c r="AN9" s="43">
        <f t="shared" si="1"/>
        <v>13</v>
      </c>
      <c r="AO9" s="45">
        <f t="shared" si="1"/>
        <v>102</v>
      </c>
      <c r="AP9" s="39">
        <f t="shared" si="1"/>
        <v>100.93333333333334</v>
      </c>
      <c r="AQ9" s="43">
        <f t="shared" si="1"/>
        <v>101</v>
      </c>
      <c r="AR9" s="43">
        <f t="shared" si="1"/>
        <v>17</v>
      </c>
      <c r="AS9" s="45">
        <f t="shared" si="1"/>
        <v>118</v>
      </c>
      <c r="AT9" s="39">
        <f t="shared" si="1"/>
        <v>110.26666666666667</v>
      </c>
      <c r="AU9" s="43">
        <f t="shared" si="1"/>
        <v>102</v>
      </c>
      <c r="AV9" s="43">
        <f t="shared" si="1"/>
        <v>9</v>
      </c>
      <c r="AW9" s="45">
        <f t="shared" si="1"/>
        <v>111</v>
      </c>
      <c r="AX9" s="39">
        <f t="shared" si="1"/>
        <v>108.13333333333333</v>
      </c>
      <c r="AY9" s="43">
        <f t="shared" si="1"/>
        <v>111</v>
      </c>
      <c r="AZ9" s="43">
        <f t="shared" si="1"/>
        <v>20</v>
      </c>
      <c r="BA9" s="45">
        <f t="shared" si="1"/>
        <v>131</v>
      </c>
      <c r="BB9" s="39">
        <f t="shared" si="1"/>
        <v>122.43333333333334</v>
      </c>
      <c r="BC9" s="43">
        <f t="shared" si="1"/>
        <v>91</v>
      </c>
      <c r="BD9" s="43">
        <f t="shared" si="1"/>
        <v>16</v>
      </c>
      <c r="BE9" s="45">
        <f t="shared" si="1"/>
        <v>107</v>
      </c>
      <c r="BF9" s="39">
        <f t="shared" si="1"/>
        <v>102.63333333333334</v>
      </c>
    </row>
    <row r="10" spans="1:147" x14ac:dyDescent="0.2">
      <c r="B10" s="8"/>
      <c r="C10" s="20"/>
      <c r="D10" s="20"/>
      <c r="E10" s="15"/>
      <c r="G10" s="20"/>
      <c r="H10" s="20"/>
      <c r="I10" s="26" t="s">
        <v>8</v>
      </c>
      <c r="J10" s="6">
        <f>(F9+J9)/2</f>
        <v>33.65</v>
      </c>
      <c r="K10" s="20"/>
      <c r="L10" s="20"/>
      <c r="M10" s="15"/>
      <c r="O10" s="20"/>
      <c r="P10" s="20"/>
      <c r="Q10" s="26" t="s">
        <v>8</v>
      </c>
      <c r="R10" s="6">
        <f>(N9+R9)/2</f>
        <v>61.283333333333331</v>
      </c>
      <c r="S10" s="20"/>
      <c r="T10" s="20"/>
      <c r="U10" s="15"/>
      <c r="W10" s="20"/>
      <c r="X10" s="20"/>
      <c r="Y10" s="26" t="s">
        <v>8</v>
      </c>
      <c r="Z10" s="6">
        <f>(V9+Z9)/2</f>
        <v>75.300000000000011</v>
      </c>
      <c r="AA10" s="20"/>
      <c r="AB10" s="20"/>
      <c r="AC10" s="15"/>
      <c r="AE10" s="20"/>
      <c r="AF10" s="20"/>
      <c r="AG10" s="26" t="s">
        <v>8</v>
      </c>
      <c r="AH10" s="6">
        <f>(AD9+AH9)/2</f>
        <v>88.666666666666657</v>
      </c>
      <c r="AI10" s="20"/>
      <c r="AJ10" s="20"/>
      <c r="AK10" s="15"/>
      <c r="AM10" s="20"/>
      <c r="AN10" s="20"/>
      <c r="AO10" s="26" t="s">
        <v>8</v>
      </c>
      <c r="AP10" s="6">
        <f>(AL9+AP9)/2</f>
        <v>112.35</v>
      </c>
      <c r="AQ10" s="20"/>
      <c r="AR10" s="20"/>
      <c r="AS10" s="15"/>
      <c r="AU10" s="20"/>
      <c r="AV10" s="20"/>
      <c r="AW10" s="26" t="s">
        <v>8</v>
      </c>
      <c r="AX10" s="6">
        <f>(AT9+AX9)/2</f>
        <v>109.19999999999999</v>
      </c>
      <c r="AY10" s="20"/>
      <c r="AZ10" s="20"/>
      <c r="BA10" s="15"/>
      <c r="BC10" s="20"/>
      <c r="BD10" s="20"/>
      <c r="BE10" s="26" t="s">
        <v>8</v>
      </c>
      <c r="BF10" s="6">
        <f>(BB9+BF9)/2</f>
        <v>112.53333333333333</v>
      </c>
    </row>
    <row r="11" spans="1:147" x14ac:dyDescent="0.2">
      <c r="B11" s="4"/>
      <c r="E11" s="7"/>
      <c r="G11" s="2"/>
      <c r="H11" s="2"/>
      <c r="I11" s="7"/>
      <c r="J11" s="6"/>
      <c r="M11" s="7"/>
      <c r="O11" s="2"/>
      <c r="P11" s="2"/>
      <c r="Q11" s="7"/>
      <c r="R11" s="6"/>
      <c r="U11" s="7"/>
      <c r="W11" s="2"/>
      <c r="X11" s="2"/>
      <c r="Y11" s="7"/>
      <c r="Z11" s="6"/>
      <c r="AC11" s="7"/>
      <c r="AE11" s="2"/>
      <c r="AF11" s="2"/>
      <c r="AG11" s="7"/>
      <c r="AH11" s="6"/>
      <c r="AK11" s="7"/>
      <c r="AM11" s="2"/>
      <c r="AN11" s="2"/>
      <c r="AO11" s="7"/>
      <c r="AP11" s="6"/>
      <c r="AS11" s="7"/>
      <c r="AU11" s="2"/>
      <c r="AV11" s="2"/>
      <c r="AW11" s="7"/>
      <c r="AX11" s="6"/>
      <c r="BA11" s="7"/>
      <c r="BC11" s="2"/>
      <c r="BD11" s="2"/>
      <c r="BE11" s="7"/>
      <c r="BF11" s="6"/>
    </row>
    <row r="12" spans="1:147" x14ac:dyDescent="0.2">
      <c r="B12" s="8"/>
      <c r="E12" s="3" t="s">
        <v>263</v>
      </c>
      <c r="F12" s="21"/>
      <c r="I12" s="3" t="s">
        <v>264</v>
      </c>
      <c r="J12" s="6"/>
      <c r="M12" s="3" t="s">
        <v>232</v>
      </c>
      <c r="N12" s="21"/>
      <c r="Q12" s="3" t="s">
        <v>233</v>
      </c>
      <c r="R12" s="6"/>
      <c r="U12" s="3" t="s">
        <v>225</v>
      </c>
      <c r="V12" s="21"/>
      <c r="Y12" s="3" t="s">
        <v>226</v>
      </c>
      <c r="Z12" s="6"/>
      <c r="AC12" s="3" t="s">
        <v>221</v>
      </c>
      <c r="AD12" s="21"/>
      <c r="AG12" s="3" t="s">
        <v>222</v>
      </c>
      <c r="AH12" s="6"/>
      <c r="AK12" s="3" t="s">
        <v>215</v>
      </c>
      <c r="AL12" s="21"/>
      <c r="AO12" s="3" t="s">
        <v>216</v>
      </c>
      <c r="AP12" s="6"/>
      <c r="AS12" s="3" t="s">
        <v>209</v>
      </c>
      <c r="AT12" s="21"/>
      <c r="AW12" s="3" t="s">
        <v>210</v>
      </c>
      <c r="AX12" s="6"/>
      <c r="BA12" s="3" t="s">
        <v>205</v>
      </c>
      <c r="BB12" s="21"/>
      <c r="BE12" s="3" t="s">
        <v>206</v>
      </c>
      <c r="BF12" s="6"/>
    </row>
    <row r="13" spans="1:147" x14ac:dyDescent="0.2">
      <c r="B13" s="4" t="s">
        <v>262</v>
      </c>
      <c r="C13" s="2" t="s">
        <v>0</v>
      </c>
      <c r="D13" s="2" t="s">
        <v>1</v>
      </c>
      <c r="E13" s="7" t="s">
        <v>5</v>
      </c>
      <c r="F13" s="6" t="s">
        <v>6</v>
      </c>
      <c r="G13" s="2" t="s">
        <v>0</v>
      </c>
      <c r="H13" s="2" t="s">
        <v>1</v>
      </c>
      <c r="I13" s="7" t="s">
        <v>5</v>
      </c>
      <c r="J13" s="6" t="s">
        <v>6</v>
      </c>
      <c r="K13" s="2" t="s">
        <v>0</v>
      </c>
      <c r="L13" s="2" t="s">
        <v>1</v>
      </c>
      <c r="M13" s="7" t="s">
        <v>5</v>
      </c>
      <c r="N13" s="6" t="s">
        <v>6</v>
      </c>
      <c r="O13" s="2" t="s">
        <v>0</v>
      </c>
      <c r="P13" s="2" t="s">
        <v>1</v>
      </c>
      <c r="Q13" s="7" t="s">
        <v>5</v>
      </c>
      <c r="R13" s="6" t="s">
        <v>6</v>
      </c>
      <c r="S13" s="2" t="s">
        <v>0</v>
      </c>
      <c r="T13" s="2" t="s">
        <v>1</v>
      </c>
      <c r="U13" s="7" t="s">
        <v>5</v>
      </c>
      <c r="V13" s="6" t="s">
        <v>6</v>
      </c>
      <c r="W13" s="2" t="s">
        <v>0</v>
      </c>
      <c r="X13" s="2" t="s">
        <v>1</v>
      </c>
      <c r="Y13" s="7" t="s">
        <v>5</v>
      </c>
      <c r="Z13" s="6" t="s">
        <v>6</v>
      </c>
      <c r="AA13" s="2" t="s">
        <v>0</v>
      </c>
      <c r="AB13" s="2" t="s">
        <v>1</v>
      </c>
      <c r="AC13" s="7" t="s">
        <v>5</v>
      </c>
      <c r="AD13" s="6" t="s">
        <v>6</v>
      </c>
      <c r="AE13" s="2" t="s">
        <v>0</v>
      </c>
      <c r="AF13" s="2" t="s">
        <v>1</v>
      </c>
      <c r="AG13" s="7" t="s">
        <v>5</v>
      </c>
      <c r="AH13" s="6" t="s">
        <v>6</v>
      </c>
      <c r="AI13" s="2" t="s">
        <v>0</v>
      </c>
      <c r="AJ13" s="2" t="s">
        <v>1</v>
      </c>
      <c r="AK13" s="7" t="s">
        <v>5</v>
      </c>
      <c r="AL13" s="6" t="s">
        <v>6</v>
      </c>
      <c r="AM13" s="2" t="s">
        <v>0</v>
      </c>
      <c r="AN13" s="2" t="s">
        <v>1</v>
      </c>
      <c r="AO13" s="7" t="s">
        <v>5</v>
      </c>
      <c r="AP13" s="6" t="s">
        <v>6</v>
      </c>
      <c r="AQ13" s="2" t="s">
        <v>0</v>
      </c>
      <c r="AR13" s="2" t="s">
        <v>1</v>
      </c>
      <c r="AS13" s="7" t="s">
        <v>5</v>
      </c>
      <c r="AT13" s="6" t="s">
        <v>6</v>
      </c>
      <c r="AU13" s="2" t="s">
        <v>0</v>
      </c>
      <c r="AV13" s="2" t="s">
        <v>1</v>
      </c>
      <c r="AW13" s="7" t="s">
        <v>5</v>
      </c>
      <c r="AX13" s="6" t="s">
        <v>6</v>
      </c>
      <c r="AY13" s="2" t="s">
        <v>0</v>
      </c>
      <c r="AZ13" s="2" t="s">
        <v>1</v>
      </c>
      <c r="BA13" s="7" t="s">
        <v>5</v>
      </c>
      <c r="BB13" s="6" t="s">
        <v>6</v>
      </c>
      <c r="BC13" s="2" t="s">
        <v>0</v>
      </c>
      <c r="BD13" s="2" t="s">
        <v>1</v>
      </c>
      <c r="BE13" s="7" t="s">
        <v>5</v>
      </c>
      <c r="BF13" s="6" t="s">
        <v>6</v>
      </c>
    </row>
    <row r="14" spans="1:147" x14ac:dyDescent="0.2">
      <c r="A14" s="36" t="s">
        <v>113</v>
      </c>
      <c r="B14" s="8" t="s">
        <v>132</v>
      </c>
      <c r="C14" s="5">
        <v>11</v>
      </c>
      <c r="D14" s="5">
        <v>6</v>
      </c>
      <c r="E14" s="3">
        <f>SUM(C14:D14)</f>
        <v>17</v>
      </c>
      <c r="F14" s="6">
        <v>13.3</v>
      </c>
      <c r="G14" s="10"/>
      <c r="H14" s="10"/>
      <c r="I14" s="3">
        <f>SUM(G14:H14)</f>
        <v>0</v>
      </c>
      <c r="J14" s="23"/>
      <c r="K14" s="5">
        <v>12</v>
      </c>
      <c r="L14" s="5">
        <v>5</v>
      </c>
      <c r="M14" s="3">
        <f>SUM(K14:L14)</f>
        <v>17</v>
      </c>
      <c r="N14" s="6">
        <f>200.5/15</f>
        <v>13.366666666666667</v>
      </c>
      <c r="O14" s="10">
        <v>11</v>
      </c>
      <c r="P14" s="10">
        <v>3</v>
      </c>
      <c r="Q14" s="3">
        <f>SUM(O14:P14)</f>
        <v>14</v>
      </c>
      <c r="R14" s="23">
        <v>11.6</v>
      </c>
      <c r="S14" s="5">
        <v>5</v>
      </c>
      <c r="T14" s="5">
        <v>4</v>
      </c>
      <c r="U14" s="3">
        <f>SUM(S14:T14)</f>
        <v>9</v>
      </c>
      <c r="V14" s="6">
        <f>99/15</f>
        <v>6.6</v>
      </c>
      <c r="W14" s="10">
        <v>8</v>
      </c>
      <c r="X14" s="10">
        <v>5</v>
      </c>
      <c r="Y14" s="3">
        <f>SUM(W14:X14)</f>
        <v>13</v>
      </c>
      <c r="Z14" s="23">
        <f>148.5/15</f>
        <v>9.9</v>
      </c>
      <c r="AA14" s="5">
        <v>13</v>
      </c>
      <c r="AB14" s="5">
        <v>1</v>
      </c>
      <c r="AC14" s="3">
        <f>SUM(AA14:AB14)</f>
        <v>14</v>
      </c>
      <c r="AD14" s="6">
        <f>197/15</f>
        <v>13.133333333333333</v>
      </c>
      <c r="AE14" s="10">
        <v>11</v>
      </c>
      <c r="AF14" s="10">
        <v>2</v>
      </c>
      <c r="AG14" s="3">
        <f>SUM(AE14:AF14)</f>
        <v>13</v>
      </c>
      <c r="AH14" s="23">
        <f>179.5/15</f>
        <v>11.966666666666667</v>
      </c>
      <c r="AI14" s="5">
        <v>18</v>
      </c>
      <c r="AJ14" s="5">
        <v>1</v>
      </c>
      <c r="AK14" s="3">
        <f>SUM(AI14:AJ14)</f>
        <v>19</v>
      </c>
      <c r="AL14" s="6">
        <f>262.5/15</f>
        <v>17.5</v>
      </c>
      <c r="AM14" s="10">
        <v>11</v>
      </c>
      <c r="AN14" s="10">
        <v>1</v>
      </c>
      <c r="AO14" s="3">
        <f>SUM(AM14:AN14)</f>
        <v>12</v>
      </c>
      <c r="AP14" s="23">
        <f>172/15</f>
        <v>11.466666666666667</v>
      </c>
      <c r="AQ14" s="5">
        <v>20</v>
      </c>
      <c r="AR14" s="5">
        <v>6</v>
      </c>
      <c r="AS14" s="3">
        <f>SUM(AQ14:AR14)</f>
        <v>26</v>
      </c>
      <c r="AT14" s="6">
        <f>352/15</f>
        <v>23.466666666666665</v>
      </c>
      <c r="AU14" s="10">
        <v>17</v>
      </c>
      <c r="AV14" s="10">
        <v>3</v>
      </c>
      <c r="AW14" s="3">
        <f>SUM(AU14:AV14)</f>
        <v>20</v>
      </c>
      <c r="AX14" s="23">
        <f>260.5/15</f>
        <v>17.366666666666667</v>
      </c>
      <c r="AY14" s="5">
        <v>24</v>
      </c>
      <c r="AZ14" s="5">
        <v>4</v>
      </c>
      <c r="BA14" s="3">
        <f>SUM(AY14:AZ14)</f>
        <v>28</v>
      </c>
      <c r="BB14" s="6">
        <f>376.5/15</f>
        <v>25.1</v>
      </c>
      <c r="BC14" s="10">
        <v>25</v>
      </c>
      <c r="BD14" s="10">
        <v>2</v>
      </c>
      <c r="BE14" s="3">
        <f>SUM(BC14:BD14)</f>
        <v>27</v>
      </c>
      <c r="BF14" s="23">
        <f>402.5/15</f>
        <v>26.833333333333332</v>
      </c>
    </row>
    <row r="15" spans="1:147" x14ac:dyDescent="0.2">
      <c r="A15" s="36" t="s">
        <v>106</v>
      </c>
      <c r="B15" s="8" t="s">
        <v>125</v>
      </c>
      <c r="C15" s="2">
        <v>21</v>
      </c>
      <c r="D15" s="2">
        <v>0</v>
      </c>
      <c r="E15" s="3">
        <f>SUM(C15:D15)</f>
        <v>21</v>
      </c>
      <c r="F15" s="6">
        <v>21.5</v>
      </c>
      <c r="G15" s="10"/>
      <c r="H15" s="10"/>
      <c r="I15" s="3">
        <f>SUM(G15:H15)</f>
        <v>0</v>
      </c>
      <c r="J15" s="23"/>
      <c r="K15" s="2">
        <v>21</v>
      </c>
      <c r="L15" s="2">
        <v>2</v>
      </c>
      <c r="M15" s="3">
        <f>SUM(K15:L15)</f>
        <v>23</v>
      </c>
      <c r="N15" s="6">
        <f>346/15</f>
        <v>23.066666666666666</v>
      </c>
      <c r="O15" s="10">
        <v>18</v>
      </c>
      <c r="P15" s="10">
        <v>1</v>
      </c>
      <c r="Q15" s="3">
        <f>SUM(O15:P15)</f>
        <v>19</v>
      </c>
      <c r="R15" s="23">
        <v>18.8</v>
      </c>
      <c r="S15" s="2">
        <v>17</v>
      </c>
      <c r="T15" s="2">
        <v>1</v>
      </c>
      <c r="U15" s="3">
        <f>SUM(S15:T15)</f>
        <v>18</v>
      </c>
      <c r="V15" s="6">
        <f>286.5/15</f>
        <v>19.100000000000001</v>
      </c>
      <c r="W15" s="10">
        <v>15</v>
      </c>
      <c r="X15" s="10">
        <v>0</v>
      </c>
      <c r="Y15" s="3">
        <f>SUM(W15:X15)</f>
        <v>15</v>
      </c>
      <c r="Z15" s="23">
        <f>229.5/15</f>
        <v>15.3</v>
      </c>
      <c r="AA15" s="2">
        <v>17</v>
      </c>
      <c r="AB15" s="2">
        <v>0</v>
      </c>
      <c r="AC15" s="3">
        <f>SUM(AA15:AB15)</f>
        <v>17</v>
      </c>
      <c r="AD15" s="6">
        <f>278/15</f>
        <v>18.533333333333335</v>
      </c>
      <c r="AE15" s="10">
        <v>10</v>
      </c>
      <c r="AF15" s="10">
        <v>0</v>
      </c>
      <c r="AG15" s="3">
        <f>SUM(AE15:AF15)</f>
        <v>10</v>
      </c>
      <c r="AH15" s="23">
        <f>165.5/15</f>
        <v>11.033333333333333</v>
      </c>
      <c r="AI15" s="2">
        <v>16</v>
      </c>
      <c r="AJ15" s="2">
        <v>2</v>
      </c>
      <c r="AK15" s="3">
        <f>SUM(AI15:AJ15)</f>
        <v>18</v>
      </c>
      <c r="AL15" s="6">
        <f>257.5/15</f>
        <v>17.166666666666668</v>
      </c>
      <c r="AM15" s="10">
        <v>12</v>
      </c>
      <c r="AN15" s="10">
        <v>1</v>
      </c>
      <c r="AO15" s="3">
        <f>SUM(AM15:AN15)</f>
        <v>13</v>
      </c>
      <c r="AP15" s="23">
        <f>186/15</f>
        <v>12.4</v>
      </c>
      <c r="AQ15" s="2">
        <v>25</v>
      </c>
      <c r="AR15" s="2">
        <v>1</v>
      </c>
      <c r="AS15" s="3">
        <f>SUM(AQ15:AR15)</f>
        <v>26</v>
      </c>
      <c r="AT15" s="6">
        <f>385/15</f>
        <v>25.666666666666668</v>
      </c>
      <c r="AU15" s="10">
        <v>17</v>
      </c>
      <c r="AV15" s="10">
        <v>3</v>
      </c>
      <c r="AW15" s="3">
        <f>SUM(AU15:AV15)</f>
        <v>20</v>
      </c>
      <c r="AX15" s="23">
        <f>293/15</f>
        <v>19.533333333333335</v>
      </c>
      <c r="AY15" s="2">
        <v>39</v>
      </c>
      <c r="AZ15" s="2">
        <v>2</v>
      </c>
      <c r="BA15" s="3">
        <f>SUM(AY15:AZ15)</f>
        <v>41</v>
      </c>
      <c r="BB15" s="6">
        <f>612/15</f>
        <v>40.799999999999997</v>
      </c>
      <c r="BC15" s="10">
        <v>27</v>
      </c>
      <c r="BD15" s="10">
        <v>3</v>
      </c>
      <c r="BE15" s="3">
        <f>SUM(BC15:BD15)</f>
        <v>30</v>
      </c>
      <c r="BF15" s="23">
        <f>459.5/15</f>
        <v>30.633333333333333</v>
      </c>
    </row>
    <row r="16" spans="1:147" x14ac:dyDescent="0.2">
      <c r="A16" s="36" t="s">
        <v>245</v>
      </c>
      <c r="B16" s="8" t="s">
        <v>246</v>
      </c>
      <c r="C16" s="2">
        <v>30</v>
      </c>
      <c r="D16" s="2">
        <v>2</v>
      </c>
      <c r="E16" s="3">
        <f>SUM(C16:D16)</f>
        <v>32</v>
      </c>
      <c r="F16" s="6">
        <v>30.7</v>
      </c>
      <c r="G16" s="10"/>
      <c r="H16" s="10"/>
      <c r="I16" s="3">
        <f>SUM(G16:H16)</f>
        <v>0</v>
      </c>
      <c r="J16" s="23"/>
      <c r="K16" s="2">
        <v>40</v>
      </c>
      <c r="L16" s="2">
        <v>1</v>
      </c>
      <c r="M16" s="3">
        <f>SUM(K16:L16)</f>
        <v>41</v>
      </c>
      <c r="N16" s="6">
        <f>614/15</f>
        <v>40.93333333333333</v>
      </c>
      <c r="O16" s="10">
        <v>40</v>
      </c>
      <c r="P16" s="10">
        <v>1</v>
      </c>
      <c r="Q16" s="3">
        <f>SUM(O16:P16)</f>
        <v>41</v>
      </c>
      <c r="R16" s="23">
        <v>42.4</v>
      </c>
      <c r="S16" s="2">
        <v>35</v>
      </c>
      <c r="T16" s="2">
        <v>6</v>
      </c>
      <c r="U16" s="3">
        <f>SUM(S16:T16)</f>
        <v>41</v>
      </c>
      <c r="V16" s="6">
        <f>598/15</f>
        <v>39.866666666666667</v>
      </c>
      <c r="W16" s="10">
        <v>28</v>
      </c>
      <c r="X16" s="10">
        <v>2</v>
      </c>
      <c r="Y16" s="3">
        <f>SUM(W16:X16)</f>
        <v>30</v>
      </c>
      <c r="Z16" s="23">
        <f>455.5/15</f>
        <v>30.366666666666667</v>
      </c>
      <c r="AA16" s="2">
        <v>37</v>
      </c>
      <c r="AB16" s="2">
        <v>3</v>
      </c>
      <c r="AC16" s="3">
        <f>SUM(AA16:AB16)</f>
        <v>40</v>
      </c>
      <c r="AD16" s="6">
        <f>594/15</f>
        <v>39.6</v>
      </c>
      <c r="AE16" s="10">
        <v>27</v>
      </c>
      <c r="AF16" s="10">
        <v>3</v>
      </c>
      <c r="AG16" s="3">
        <f>SUM(AE16:AF16)</f>
        <v>30</v>
      </c>
      <c r="AH16" s="23">
        <f>445.5/15</f>
        <v>29.7</v>
      </c>
      <c r="AI16" s="2">
        <v>34</v>
      </c>
      <c r="AJ16" s="2">
        <v>0</v>
      </c>
      <c r="AK16" s="3">
        <f>SUM(AI16:AJ16)</f>
        <v>34</v>
      </c>
      <c r="AL16" s="6">
        <f>520/15</f>
        <v>34.666666666666664</v>
      </c>
      <c r="AM16" s="10">
        <v>28</v>
      </c>
      <c r="AN16" s="10">
        <v>3</v>
      </c>
      <c r="AO16" s="3">
        <f>SUM(AM16:AN16)</f>
        <v>31</v>
      </c>
      <c r="AP16" s="23">
        <f>454/15</f>
        <v>30.266666666666666</v>
      </c>
      <c r="AQ16" s="2">
        <v>42</v>
      </c>
      <c r="AR16" s="2">
        <v>0</v>
      </c>
      <c r="AS16" s="3">
        <f>SUM(AQ16:AR16)</f>
        <v>42</v>
      </c>
      <c r="AT16" s="6">
        <f>647/15</f>
        <v>43.133333333333333</v>
      </c>
      <c r="AU16" s="10">
        <v>31</v>
      </c>
      <c r="AV16" s="10">
        <v>4</v>
      </c>
      <c r="AW16" s="3">
        <f>SUM(AU16:AV16)</f>
        <v>35</v>
      </c>
      <c r="AX16" s="23">
        <f>511/15</f>
        <v>34.06666666666667</v>
      </c>
      <c r="AY16" s="2">
        <v>35</v>
      </c>
      <c r="AZ16" s="2">
        <v>2</v>
      </c>
      <c r="BA16" s="3">
        <f>SUM(AY16:AZ16)</f>
        <v>37</v>
      </c>
      <c r="BB16" s="6">
        <f>562.5/15</f>
        <v>37.5</v>
      </c>
      <c r="BC16" s="10">
        <v>29</v>
      </c>
      <c r="BD16" s="10">
        <v>5</v>
      </c>
      <c r="BE16" s="3">
        <f>SUM(BC16:BD16)</f>
        <v>34</v>
      </c>
      <c r="BF16" s="23">
        <f>485.5/15</f>
        <v>32.366666666666667</v>
      </c>
    </row>
    <row r="17" spans="1:58" s="8" customFormat="1" x14ac:dyDescent="0.2">
      <c r="A17" s="37" t="s">
        <v>98</v>
      </c>
      <c r="B17" s="8" t="s">
        <v>118</v>
      </c>
      <c r="C17" s="5">
        <v>3</v>
      </c>
      <c r="D17" s="5">
        <v>0</v>
      </c>
      <c r="E17" s="7">
        <f>SUM(C17:D17)</f>
        <v>3</v>
      </c>
      <c r="F17" s="6">
        <v>3.1</v>
      </c>
      <c r="G17" s="5"/>
      <c r="H17" s="5"/>
      <c r="I17" s="7">
        <f>SUM(G17:H17)</f>
        <v>0</v>
      </c>
      <c r="J17" s="23"/>
      <c r="K17" s="5">
        <v>3</v>
      </c>
      <c r="L17" s="5">
        <v>0</v>
      </c>
      <c r="M17" s="7">
        <f>SUM(K17:L17)</f>
        <v>3</v>
      </c>
      <c r="N17" s="6">
        <f>43.5/15</f>
        <v>2.9</v>
      </c>
      <c r="O17" s="5">
        <v>4</v>
      </c>
      <c r="P17" s="5">
        <v>1</v>
      </c>
      <c r="Q17" s="7">
        <f>SUM(O17:P17)</f>
        <v>5</v>
      </c>
      <c r="R17" s="23">
        <v>4.2</v>
      </c>
      <c r="S17" s="5">
        <v>1</v>
      </c>
      <c r="T17" s="5">
        <v>2</v>
      </c>
      <c r="U17" s="7">
        <f>SUM(S17:T17)</f>
        <v>3</v>
      </c>
      <c r="V17" s="6">
        <f>28/15</f>
        <v>1.8666666666666667</v>
      </c>
      <c r="W17" s="5">
        <v>1</v>
      </c>
      <c r="X17" s="5">
        <v>1</v>
      </c>
      <c r="Y17" s="7">
        <f>SUM(W17:X17)</f>
        <v>2</v>
      </c>
      <c r="Z17" s="23">
        <f>24/15</f>
        <v>1.6</v>
      </c>
      <c r="AA17" s="5">
        <v>6</v>
      </c>
      <c r="AB17" s="5">
        <v>0</v>
      </c>
      <c r="AC17" s="7">
        <f>SUM(AA17:AB17)</f>
        <v>6</v>
      </c>
      <c r="AD17" s="6">
        <f>84/15</f>
        <v>5.6</v>
      </c>
      <c r="AE17" s="5">
        <v>3</v>
      </c>
      <c r="AF17" s="5">
        <v>2</v>
      </c>
      <c r="AG17" s="7">
        <f>SUM(AE17:AF17)</f>
        <v>5</v>
      </c>
      <c r="AH17" s="23">
        <f>60.5/15</f>
        <v>4.0333333333333332</v>
      </c>
      <c r="AI17" s="5">
        <v>7</v>
      </c>
      <c r="AJ17" s="5">
        <v>1</v>
      </c>
      <c r="AK17" s="7">
        <f>SUM(AI17:AJ17)</f>
        <v>8</v>
      </c>
      <c r="AL17" s="6">
        <f>106/15</f>
        <v>7.0666666666666664</v>
      </c>
      <c r="AM17" s="5">
        <v>4</v>
      </c>
      <c r="AN17" s="5">
        <v>3</v>
      </c>
      <c r="AO17" s="7">
        <f>SUM(AM17:AN17)</f>
        <v>7</v>
      </c>
      <c r="AP17" s="23">
        <f>77/15</f>
        <v>5.1333333333333337</v>
      </c>
      <c r="AQ17" s="5">
        <v>2</v>
      </c>
      <c r="AR17" s="5">
        <v>1</v>
      </c>
      <c r="AS17" s="7">
        <f>SUM(AQ17:AR17)</f>
        <v>3</v>
      </c>
      <c r="AT17" s="6">
        <f>35.5/15</f>
        <v>2.3666666666666667</v>
      </c>
      <c r="AU17" s="5">
        <v>2</v>
      </c>
      <c r="AV17" s="5">
        <v>2</v>
      </c>
      <c r="AW17" s="3">
        <f>SUM(AU17:AV17)</f>
        <v>4</v>
      </c>
      <c r="AX17" s="23">
        <f>37.5/15</f>
        <v>2.5</v>
      </c>
      <c r="AY17" s="5">
        <v>2</v>
      </c>
      <c r="AZ17" s="5">
        <v>5</v>
      </c>
      <c r="BA17" s="7">
        <f>SUM(AY17:AZ17)</f>
        <v>7</v>
      </c>
      <c r="BB17" s="6">
        <f>57/15</f>
        <v>3.8</v>
      </c>
      <c r="BC17" s="5">
        <v>1</v>
      </c>
      <c r="BD17" s="5">
        <v>2</v>
      </c>
      <c r="BE17" s="7">
        <f>SUM(BC17:BD17)</f>
        <v>3</v>
      </c>
      <c r="BF17" s="23">
        <f>31/15</f>
        <v>2.0666666666666669</v>
      </c>
    </row>
    <row r="18" spans="1:58" x14ac:dyDescent="0.2">
      <c r="B18" s="27" t="s">
        <v>7</v>
      </c>
      <c r="C18" s="43">
        <f t="shared" ref="C18:J18" si="2">SUM(C14:C17)</f>
        <v>65</v>
      </c>
      <c r="D18" s="43">
        <f t="shared" si="2"/>
        <v>8</v>
      </c>
      <c r="E18" s="45">
        <f t="shared" si="2"/>
        <v>73</v>
      </c>
      <c r="F18" s="39">
        <f t="shared" si="2"/>
        <v>68.599999999999994</v>
      </c>
      <c r="G18" s="43">
        <f t="shared" si="2"/>
        <v>0</v>
      </c>
      <c r="H18" s="43">
        <f t="shared" si="2"/>
        <v>0</v>
      </c>
      <c r="I18" s="45">
        <f t="shared" si="2"/>
        <v>0</v>
      </c>
      <c r="J18" s="39">
        <f t="shared" si="2"/>
        <v>0</v>
      </c>
      <c r="K18" s="43">
        <f t="shared" ref="K18:BF18" si="3">SUM(K14:K17)</f>
        <v>76</v>
      </c>
      <c r="L18" s="43">
        <f t="shared" si="3"/>
        <v>8</v>
      </c>
      <c r="M18" s="45">
        <f t="shared" si="3"/>
        <v>84</v>
      </c>
      <c r="N18" s="39">
        <f t="shared" si="3"/>
        <v>80.26666666666668</v>
      </c>
      <c r="O18" s="43">
        <f t="shared" si="3"/>
        <v>73</v>
      </c>
      <c r="P18" s="43">
        <f t="shared" si="3"/>
        <v>6</v>
      </c>
      <c r="Q18" s="45">
        <f t="shared" si="3"/>
        <v>79</v>
      </c>
      <c r="R18" s="39">
        <f t="shared" si="3"/>
        <v>77</v>
      </c>
      <c r="S18" s="43">
        <f t="shared" si="3"/>
        <v>58</v>
      </c>
      <c r="T18" s="43">
        <f t="shared" si="3"/>
        <v>13</v>
      </c>
      <c r="U18" s="45">
        <f t="shared" si="3"/>
        <v>71</v>
      </c>
      <c r="V18" s="39">
        <f t="shared" si="3"/>
        <v>67.433333333333323</v>
      </c>
      <c r="W18" s="43">
        <f t="shared" si="3"/>
        <v>52</v>
      </c>
      <c r="X18" s="43">
        <f t="shared" si="3"/>
        <v>8</v>
      </c>
      <c r="Y18" s="45">
        <f t="shared" si="3"/>
        <v>60</v>
      </c>
      <c r="Z18" s="39">
        <f t="shared" si="3"/>
        <v>57.166666666666671</v>
      </c>
      <c r="AA18" s="43">
        <f t="shared" si="3"/>
        <v>73</v>
      </c>
      <c r="AB18" s="43">
        <f t="shared" si="3"/>
        <v>4</v>
      </c>
      <c r="AC18" s="45">
        <f t="shared" si="3"/>
        <v>77</v>
      </c>
      <c r="AD18" s="39">
        <f t="shared" si="3"/>
        <v>76.86666666666666</v>
      </c>
      <c r="AE18" s="43">
        <f t="shared" si="3"/>
        <v>51</v>
      </c>
      <c r="AF18" s="43">
        <f t="shared" si="3"/>
        <v>7</v>
      </c>
      <c r="AG18" s="45">
        <f t="shared" si="3"/>
        <v>58</v>
      </c>
      <c r="AH18" s="39">
        <f t="shared" si="3"/>
        <v>56.733333333333334</v>
      </c>
      <c r="AI18" s="43">
        <f t="shared" si="3"/>
        <v>75</v>
      </c>
      <c r="AJ18" s="43">
        <f t="shared" si="3"/>
        <v>4</v>
      </c>
      <c r="AK18" s="45">
        <f t="shared" si="3"/>
        <v>79</v>
      </c>
      <c r="AL18" s="39">
        <f t="shared" si="3"/>
        <v>76.400000000000006</v>
      </c>
      <c r="AM18" s="43">
        <f t="shared" si="3"/>
        <v>55</v>
      </c>
      <c r="AN18" s="43">
        <f t="shared" si="3"/>
        <v>8</v>
      </c>
      <c r="AO18" s="45">
        <f t="shared" si="3"/>
        <v>63</v>
      </c>
      <c r="AP18" s="39">
        <f t="shared" si="3"/>
        <v>59.266666666666666</v>
      </c>
      <c r="AQ18" s="43">
        <f t="shared" si="3"/>
        <v>89</v>
      </c>
      <c r="AR18" s="43">
        <f t="shared" si="3"/>
        <v>8</v>
      </c>
      <c r="AS18" s="45">
        <f t="shared" si="3"/>
        <v>97</v>
      </c>
      <c r="AT18" s="39">
        <f t="shared" si="3"/>
        <v>94.633333333333326</v>
      </c>
      <c r="AU18" s="43">
        <f t="shared" si="3"/>
        <v>67</v>
      </c>
      <c r="AV18" s="43">
        <f t="shared" si="3"/>
        <v>12</v>
      </c>
      <c r="AW18" s="45">
        <f t="shared" si="3"/>
        <v>79</v>
      </c>
      <c r="AX18" s="39">
        <f t="shared" si="3"/>
        <v>73.466666666666669</v>
      </c>
      <c r="AY18" s="43">
        <f t="shared" si="3"/>
        <v>100</v>
      </c>
      <c r="AZ18" s="43">
        <f t="shared" si="3"/>
        <v>13</v>
      </c>
      <c r="BA18" s="45">
        <f t="shared" si="3"/>
        <v>113</v>
      </c>
      <c r="BB18" s="39">
        <f t="shared" si="3"/>
        <v>107.2</v>
      </c>
      <c r="BC18" s="43">
        <f t="shared" si="3"/>
        <v>82</v>
      </c>
      <c r="BD18" s="43">
        <f t="shared" si="3"/>
        <v>12</v>
      </c>
      <c r="BE18" s="45">
        <f t="shared" si="3"/>
        <v>94</v>
      </c>
      <c r="BF18" s="39">
        <f t="shared" si="3"/>
        <v>91.9</v>
      </c>
    </row>
    <row r="19" spans="1:58" x14ac:dyDescent="0.2">
      <c r="B19" s="8"/>
      <c r="C19" s="20"/>
      <c r="D19" s="20"/>
      <c r="E19" s="15"/>
      <c r="G19" s="20"/>
      <c r="H19" s="20"/>
      <c r="I19" s="26" t="s">
        <v>8</v>
      </c>
      <c r="J19" s="6">
        <f>(F18+J18)/2</f>
        <v>34.299999999999997</v>
      </c>
      <c r="K19" s="20"/>
      <c r="L19" s="20"/>
      <c r="M19" s="15"/>
      <c r="O19" s="20"/>
      <c r="P19" s="20"/>
      <c r="Q19" s="26" t="s">
        <v>8</v>
      </c>
      <c r="R19" s="6">
        <f>(N18+R18)/2</f>
        <v>78.63333333333334</v>
      </c>
      <c r="S19" s="20"/>
      <c r="T19" s="20"/>
      <c r="U19" s="15"/>
      <c r="W19" s="20"/>
      <c r="X19" s="20"/>
      <c r="Y19" s="26" t="s">
        <v>8</v>
      </c>
      <c r="Z19" s="6">
        <f>(V18+Z18)/2</f>
        <v>62.3</v>
      </c>
      <c r="AA19" s="20"/>
      <c r="AB19" s="20"/>
      <c r="AC19" s="15"/>
      <c r="AE19" s="20"/>
      <c r="AF19" s="20"/>
      <c r="AG19" s="26" t="s">
        <v>8</v>
      </c>
      <c r="AH19" s="6">
        <f>(AD18+AH18)/2</f>
        <v>66.8</v>
      </c>
      <c r="AI19" s="20"/>
      <c r="AJ19" s="20"/>
      <c r="AK19" s="15"/>
      <c r="AM19" s="20"/>
      <c r="AN19" s="20"/>
      <c r="AO19" s="26" t="s">
        <v>8</v>
      </c>
      <c r="AP19" s="6">
        <f>(AL18+AP18)/2</f>
        <v>67.833333333333343</v>
      </c>
      <c r="AQ19" s="20"/>
      <c r="AR19" s="20"/>
      <c r="AS19" s="15"/>
      <c r="AU19" s="20"/>
      <c r="AV19" s="20"/>
      <c r="AW19" s="26" t="s">
        <v>8</v>
      </c>
      <c r="AX19" s="6">
        <f>(AT18+AX18)/2</f>
        <v>84.05</v>
      </c>
      <c r="AY19" s="20"/>
      <c r="AZ19" s="20"/>
      <c r="BA19" s="15"/>
      <c r="BC19" s="20"/>
      <c r="BD19" s="20"/>
      <c r="BE19" s="26" t="s">
        <v>8</v>
      </c>
      <c r="BF19" s="6">
        <f>(BB18+BF18)/2</f>
        <v>99.550000000000011</v>
      </c>
    </row>
    <row r="20" spans="1:58" x14ac:dyDescent="0.2">
      <c r="B20" s="8"/>
      <c r="C20" s="20"/>
      <c r="D20" s="20"/>
      <c r="E20" s="15"/>
      <c r="G20" s="20"/>
      <c r="H20" s="20"/>
      <c r="I20" s="26"/>
      <c r="J20" s="6"/>
      <c r="K20" s="20"/>
      <c r="L20" s="20"/>
      <c r="M20" s="15"/>
      <c r="O20" s="20"/>
      <c r="P20" s="20"/>
      <c r="Q20" s="26"/>
      <c r="R20" s="6"/>
      <c r="S20" s="20"/>
      <c r="T20" s="20"/>
      <c r="U20" s="15"/>
      <c r="W20" s="20"/>
      <c r="X20" s="20"/>
      <c r="Y20" s="26"/>
      <c r="Z20" s="6"/>
      <c r="AA20" s="20"/>
      <c r="AB20" s="20"/>
      <c r="AC20" s="15"/>
      <c r="AE20" s="20"/>
      <c r="AF20" s="20"/>
      <c r="AG20" s="26"/>
      <c r="AH20" s="6"/>
      <c r="AI20" s="20"/>
      <c r="AJ20" s="20"/>
      <c r="AK20" s="15"/>
      <c r="AM20" s="20"/>
      <c r="AN20" s="20"/>
      <c r="AO20" s="26"/>
      <c r="AP20" s="6"/>
      <c r="AQ20" s="20"/>
      <c r="AR20" s="20"/>
      <c r="AS20" s="15"/>
      <c r="AU20" s="20"/>
      <c r="AV20" s="20"/>
      <c r="AW20" s="26"/>
      <c r="AX20" s="6"/>
      <c r="AY20" s="20"/>
      <c r="AZ20" s="20"/>
      <c r="BA20" s="15"/>
      <c r="BC20" s="20"/>
      <c r="BD20" s="20"/>
      <c r="BE20" s="26"/>
      <c r="BF20" s="6"/>
    </row>
    <row r="21" spans="1:58" x14ac:dyDescent="0.2">
      <c r="B21" s="8"/>
      <c r="E21" s="3" t="s">
        <v>263</v>
      </c>
      <c r="F21" s="21"/>
      <c r="I21" s="3" t="s">
        <v>264</v>
      </c>
      <c r="J21" s="6"/>
      <c r="M21" s="3" t="s">
        <v>232</v>
      </c>
      <c r="N21" s="21"/>
      <c r="Q21" s="3" t="s">
        <v>233</v>
      </c>
      <c r="R21" s="6"/>
      <c r="U21" s="3" t="s">
        <v>225</v>
      </c>
      <c r="V21" s="21"/>
      <c r="Y21" s="3" t="s">
        <v>226</v>
      </c>
      <c r="Z21" s="6"/>
      <c r="AC21" s="3" t="s">
        <v>221</v>
      </c>
      <c r="AD21" s="21"/>
      <c r="AG21" s="3" t="s">
        <v>222</v>
      </c>
      <c r="AH21" s="6"/>
      <c r="AK21" s="3" t="s">
        <v>215</v>
      </c>
      <c r="AL21" s="21"/>
      <c r="AO21" s="3" t="s">
        <v>216</v>
      </c>
      <c r="AP21" s="6"/>
      <c r="AS21" s="3" t="s">
        <v>209</v>
      </c>
      <c r="AT21" s="21"/>
      <c r="AW21" s="3" t="s">
        <v>210</v>
      </c>
      <c r="AX21" s="6"/>
      <c r="BA21" s="3" t="s">
        <v>205</v>
      </c>
      <c r="BB21" s="21"/>
      <c r="BE21" s="3" t="s">
        <v>206</v>
      </c>
      <c r="BF21" s="6"/>
    </row>
    <row r="22" spans="1:58" x14ac:dyDescent="0.2">
      <c r="B22" s="42" t="s">
        <v>235</v>
      </c>
      <c r="C22" s="2" t="s">
        <v>0</v>
      </c>
      <c r="D22" s="2" t="s">
        <v>1</v>
      </c>
      <c r="E22" s="7" t="s">
        <v>5</v>
      </c>
      <c r="F22" s="6" t="s">
        <v>6</v>
      </c>
      <c r="G22" s="2" t="s">
        <v>0</v>
      </c>
      <c r="H22" s="2" t="s">
        <v>1</v>
      </c>
      <c r="I22" s="7" t="s">
        <v>5</v>
      </c>
      <c r="J22" s="6" t="s">
        <v>6</v>
      </c>
      <c r="K22" s="2" t="s">
        <v>0</v>
      </c>
      <c r="L22" s="2" t="s">
        <v>1</v>
      </c>
      <c r="M22" s="7" t="s">
        <v>5</v>
      </c>
      <c r="N22" s="6" t="s">
        <v>6</v>
      </c>
      <c r="O22" s="2" t="s">
        <v>0</v>
      </c>
      <c r="P22" s="2" t="s">
        <v>1</v>
      </c>
      <c r="Q22" s="7" t="s">
        <v>5</v>
      </c>
      <c r="R22" s="6" t="s">
        <v>6</v>
      </c>
      <c r="S22" s="2" t="s">
        <v>0</v>
      </c>
      <c r="T22" s="2" t="s">
        <v>1</v>
      </c>
      <c r="U22" s="7" t="s">
        <v>5</v>
      </c>
      <c r="V22" s="6" t="s">
        <v>6</v>
      </c>
      <c r="W22" s="2" t="s">
        <v>0</v>
      </c>
      <c r="X22" s="2" t="s">
        <v>1</v>
      </c>
      <c r="Y22" s="7" t="s">
        <v>5</v>
      </c>
      <c r="Z22" s="6" t="s">
        <v>6</v>
      </c>
      <c r="AA22" s="2" t="s">
        <v>0</v>
      </c>
      <c r="AB22" s="2" t="s">
        <v>1</v>
      </c>
      <c r="AC22" s="7" t="s">
        <v>5</v>
      </c>
      <c r="AD22" s="6" t="s">
        <v>6</v>
      </c>
      <c r="AE22" s="2" t="s">
        <v>0</v>
      </c>
      <c r="AF22" s="2" t="s">
        <v>1</v>
      </c>
      <c r="AG22" s="7" t="s">
        <v>5</v>
      </c>
      <c r="AH22" s="6" t="s">
        <v>6</v>
      </c>
      <c r="AI22" s="2" t="s">
        <v>0</v>
      </c>
      <c r="AJ22" s="2" t="s">
        <v>1</v>
      </c>
      <c r="AK22" s="7" t="s">
        <v>5</v>
      </c>
      <c r="AL22" s="6" t="s">
        <v>6</v>
      </c>
      <c r="AM22" s="2" t="s">
        <v>0</v>
      </c>
      <c r="AN22" s="2" t="s">
        <v>1</v>
      </c>
      <c r="AO22" s="7" t="s">
        <v>5</v>
      </c>
      <c r="AP22" s="6" t="s">
        <v>6</v>
      </c>
      <c r="AQ22" s="2" t="s">
        <v>0</v>
      </c>
      <c r="AR22" s="2" t="s">
        <v>1</v>
      </c>
      <c r="AS22" s="7" t="s">
        <v>5</v>
      </c>
      <c r="AT22" s="6" t="s">
        <v>6</v>
      </c>
      <c r="AU22" s="2" t="s">
        <v>0</v>
      </c>
      <c r="AV22" s="2" t="s">
        <v>1</v>
      </c>
      <c r="AW22" s="7" t="s">
        <v>5</v>
      </c>
      <c r="AX22" s="6" t="s">
        <v>6</v>
      </c>
      <c r="AY22" s="2" t="s">
        <v>0</v>
      </c>
      <c r="AZ22" s="2" t="s">
        <v>1</v>
      </c>
      <c r="BA22" s="7" t="s">
        <v>5</v>
      </c>
      <c r="BB22" s="6" t="s">
        <v>6</v>
      </c>
      <c r="BC22" s="2" t="s">
        <v>0</v>
      </c>
      <c r="BD22" s="2" t="s">
        <v>1</v>
      </c>
      <c r="BE22" s="7" t="s">
        <v>5</v>
      </c>
      <c r="BF22" s="6" t="s">
        <v>6</v>
      </c>
    </row>
    <row r="23" spans="1:58" x14ac:dyDescent="0.2">
      <c r="A23" s="36" t="s">
        <v>57</v>
      </c>
      <c r="B23" s="8" t="s">
        <v>70</v>
      </c>
      <c r="C23" s="2">
        <v>40</v>
      </c>
      <c r="D23" s="2">
        <v>4</v>
      </c>
      <c r="E23" s="3">
        <f t="shared" ref="E23:E29" si="4">SUM(C23:D23)</f>
        <v>44</v>
      </c>
      <c r="F23" s="6">
        <v>42.9</v>
      </c>
      <c r="G23" s="10"/>
      <c r="H23" s="10"/>
      <c r="I23" s="3">
        <f t="shared" ref="I23:I29" si="5">SUM(G23:H23)</f>
        <v>0</v>
      </c>
      <c r="J23" s="23"/>
      <c r="K23" s="2">
        <v>31</v>
      </c>
      <c r="L23" s="2">
        <v>4</v>
      </c>
      <c r="M23" s="3">
        <f t="shared" ref="M23:M29" si="6">SUM(K23:L23)</f>
        <v>35</v>
      </c>
      <c r="N23" s="6">
        <f>471.5/15</f>
        <v>31.433333333333334</v>
      </c>
      <c r="O23" s="10">
        <v>27</v>
      </c>
      <c r="P23" s="10">
        <v>4</v>
      </c>
      <c r="Q23" s="3">
        <f t="shared" ref="Q23:Q29" si="7">SUM(O23:P23)</f>
        <v>31</v>
      </c>
      <c r="R23" s="23">
        <v>28</v>
      </c>
      <c r="S23" s="2">
        <v>40</v>
      </c>
      <c r="T23" s="2">
        <v>3</v>
      </c>
      <c r="U23" s="3">
        <f t="shared" ref="U23:U29" si="8">SUM(S23:T23)</f>
        <v>43</v>
      </c>
      <c r="V23" s="6">
        <f>637/15</f>
        <v>42.466666666666669</v>
      </c>
      <c r="W23" s="10">
        <v>32</v>
      </c>
      <c r="X23" s="10">
        <v>5</v>
      </c>
      <c r="Y23" s="3">
        <f t="shared" ref="Y23:Y29" si="9">SUM(W23:X23)</f>
        <v>37</v>
      </c>
      <c r="Z23" s="23">
        <f>530/15</f>
        <v>35.333333333333336</v>
      </c>
      <c r="AA23" s="2">
        <v>43</v>
      </c>
      <c r="AB23" s="2">
        <v>2</v>
      </c>
      <c r="AC23" s="3">
        <f t="shared" ref="AC23:AC29" si="10">SUM(AA23:AB23)</f>
        <v>45</v>
      </c>
      <c r="AD23" s="6">
        <f>667/15</f>
        <v>44.466666666666669</v>
      </c>
      <c r="AE23" s="10">
        <v>39</v>
      </c>
      <c r="AF23" s="10">
        <v>5</v>
      </c>
      <c r="AG23" s="3">
        <f t="shared" ref="AG23:AG29" si="11">SUM(AE23:AF23)</f>
        <v>44</v>
      </c>
      <c r="AH23" s="23">
        <f>644.5/15</f>
        <v>42.966666666666669</v>
      </c>
      <c r="AI23" s="2">
        <v>57</v>
      </c>
      <c r="AJ23" s="2">
        <v>5</v>
      </c>
      <c r="AK23" s="3">
        <f t="shared" ref="AK23:AK32" si="12">SUM(AI23:AJ23)</f>
        <v>62</v>
      </c>
      <c r="AL23" s="6">
        <f>946.5/15</f>
        <v>63.1</v>
      </c>
      <c r="AM23" s="10">
        <v>50</v>
      </c>
      <c r="AN23" s="10">
        <v>6</v>
      </c>
      <c r="AO23" s="3">
        <f t="shared" ref="AO23:AO32" si="13">SUM(AM23:AN23)</f>
        <v>56</v>
      </c>
      <c r="AP23" s="23">
        <f>837/15</f>
        <v>55.8</v>
      </c>
      <c r="AQ23" s="2">
        <v>77</v>
      </c>
      <c r="AR23" s="2">
        <v>11</v>
      </c>
      <c r="AS23" s="3">
        <f t="shared" ref="AS23:AS32" si="14">SUM(AQ23:AR23)</f>
        <v>88</v>
      </c>
      <c r="AT23" s="6">
        <f>1304.5/15</f>
        <v>86.966666666666669</v>
      </c>
      <c r="AU23" s="10">
        <v>63</v>
      </c>
      <c r="AV23" s="10">
        <v>9</v>
      </c>
      <c r="AW23" s="3">
        <f t="shared" ref="AW23:AW32" si="15">SUM(AU23:AV23)</f>
        <v>72</v>
      </c>
      <c r="AX23" s="23">
        <f>1055.5/15</f>
        <v>70.36666666666666</v>
      </c>
      <c r="AY23" s="2">
        <v>95</v>
      </c>
      <c r="AZ23" s="2">
        <v>3</v>
      </c>
      <c r="BA23" s="3">
        <f t="shared" ref="BA23:BA32" si="16">SUM(AY23:AZ23)</f>
        <v>98</v>
      </c>
      <c r="BB23" s="6">
        <f>1512.5/15</f>
        <v>100.83333333333333</v>
      </c>
      <c r="BC23" s="10">
        <v>80</v>
      </c>
      <c r="BD23" s="10">
        <v>9</v>
      </c>
      <c r="BE23" s="3">
        <f t="shared" ref="BE23:BE32" si="17">SUM(BC23:BD23)</f>
        <v>89</v>
      </c>
      <c r="BF23" s="23">
        <f>1294/15</f>
        <v>86.266666666666666</v>
      </c>
    </row>
    <row r="24" spans="1:58" x14ac:dyDescent="0.2">
      <c r="A24" s="36" t="s">
        <v>58</v>
      </c>
      <c r="B24" s="8" t="s">
        <v>71</v>
      </c>
      <c r="C24" s="2">
        <v>21</v>
      </c>
      <c r="D24" s="2">
        <v>7</v>
      </c>
      <c r="E24" s="3">
        <f t="shared" si="4"/>
        <v>28</v>
      </c>
      <c r="F24" s="6">
        <v>23.4</v>
      </c>
      <c r="G24" s="10"/>
      <c r="H24" s="10"/>
      <c r="I24" s="3">
        <f t="shared" si="5"/>
        <v>0</v>
      </c>
      <c r="J24" s="23"/>
      <c r="K24" s="2">
        <v>19</v>
      </c>
      <c r="L24" s="2">
        <v>5</v>
      </c>
      <c r="M24" s="3">
        <f t="shared" si="6"/>
        <v>24</v>
      </c>
      <c r="N24" s="6">
        <f>316/15</f>
        <v>21.066666666666666</v>
      </c>
      <c r="O24" s="10">
        <v>18</v>
      </c>
      <c r="P24" s="10">
        <v>3</v>
      </c>
      <c r="Q24" s="3">
        <f t="shared" si="7"/>
        <v>21</v>
      </c>
      <c r="R24" s="23">
        <v>19.2</v>
      </c>
      <c r="S24" s="2">
        <v>20</v>
      </c>
      <c r="T24" s="2">
        <v>3</v>
      </c>
      <c r="U24" s="3">
        <f t="shared" si="8"/>
        <v>23</v>
      </c>
      <c r="V24" s="6">
        <f>324/15</f>
        <v>21.6</v>
      </c>
      <c r="W24" s="10">
        <v>22</v>
      </c>
      <c r="X24" s="10">
        <v>4</v>
      </c>
      <c r="Y24" s="3">
        <f t="shared" si="9"/>
        <v>26</v>
      </c>
      <c r="Z24" s="23">
        <f>369.5/15</f>
        <v>24.633333333333333</v>
      </c>
      <c r="AA24" s="2">
        <v>27</v>
      </c>
      <c r="AB24" s="2">
        <v>3</v>
      </c>
      <c r="AC24" s="3">
        <f t="shared" si="10"/>
        <v>30</v>
      </c>
      <c r="AD24" s="6">
        <f>434/15</f>
        <v>28.933333333333334</v>
      </c>
      <c r="AE24" s="10">
        <v>16</v>
      </c>
      <c r="AF24" s="10">
        <v>6</v>
      </c>
      <c r="AG24" s="3">
        <f t="shared" si="11"/>
        <v>22</v>
      </c>
      <c r="AH24" s="23">
        <f>291.5/15</f>
        <v>19.433333333333334</v>
      </c>
      <c r="AI24" s="2">
        <v>29</v>
      </c>
      <c r="AJ24" s="2">
        <v>1</v>
      </c>
      <c r="AK24" s="3">
        <f t="shared" si="12"/>
        <v>30</v>
      </c>
      <c r="AL24" s="6">
        <f>433/15</f>
        <v>28.866666666666667</v>
      </c>
      <c r="AM24" s="10">
        <v>23</v>
      </c>
      <c r="AN24" s="10">
        <v>5</v>
      </c>
      <c r="AO24" s="3">
        <f t="shared" si="13"/>
        <v>28</v>
      </c>
      <c r="AP24" s="23">
        <f>386.5/15</f>
        <v>25.766666666666666</v>
      </c>
      <c r="AQ24" s="2">
        <v>36</v>
      </c>
      <c r="AR24" s="2">
        <v>3</v>
      </c>
      <c r="AS24" s="3">
        <f t="shared" si="14"/>
        <v>39</v>
      </c>
      <c r="AT24" s="6">
        <f>591/15</f>
        <v>39.4</v>
      </c>
      <c r="AU24" s="10">
        <v>28</v>
      </c>
      <c r="AV24" s="10">
        <v>5</v>
      </c>
      <c r="AW24" s="3">
        <f t="shared" si="15"/>
        <v>33</v>
      </c>
      <c r="AX24" s="23">
        <f>455/15</f>
        <v>30.333333333333332</v>
      </c>
      <c r="AY24" s="2">
        <v>36</v>
      </c>
      <c r="AZ24" s="2">
        <v>5</v>
      </c>
      <c r="BA24" s="3">
        <f t="shared" si="16"/>
        <v>41</v>
      </c>
      <c r="BB24" s="6">
        <f>(582.5)/15</f>
        <v>38.833333333333336</v>
      </c>
      <c r="BC24" s="10">
        <v>42</v>
      </c>
      <c r="BD24" s="10">
        <v>2</v>
      </c>
      <c r="BE24" s="3">
        <f t="shared" si="17"/>
        <v>44</v>
      </c>
      <c r="BF24" s="23">
        <f>630.5/15</f>
        <v>42.033333333333331</v>
      </c>
    </row>
    <row r="25" spans="1:58" x14ac:dyDescent="0.2">
      <c r="A25" s="36" t="s">
        <v>59</v>
      </c>
      <c r="B25" s="8" t="s">
        <v>72</v>
      </c>
      <c r="C25" s="2">
        <v>45</v>
      </c>
      <c r="D25" s="2">
        <v>6</v>
      </c>
      <c r="E25" s="3">
        <f t="shared" si="4"/>
        <v>51</v>
      </c>
      <c r="F25" s="6">
        <v>49.4</v>
      </c>
      <c r="G25" s="10"/>
      <c r="H25" s="10"/>
      <c r="I25" s="3">
        <f t="shared" si="5"/>
        <v>0</v>
      </c>
      <c r="J25" s="23"/>
      <c r="K25" s="2">
        <v>27</v>
      </c>
      <c r="L25" s="2">
        <v>10</v>
      </c>
      <c r="M25" s="3">
        <f t="shared" si="6"/>
        <v>37</v>
      </c>
      <c r="N25" s="6">
        <f>471.5/15</f>
        <v>31.433333333333334</v>
      </c>
      <c r="O25" s="10">
        <v>29</v>
      </c>
      <c r="P25" s="10">
        <v>9</v>
      </c>
      <c r="Q25" s="3">
        <f t="shared" si="7"/>
        <v>38</v>
      </c>
      <c r="R25" s="23">
        <v>32.1</v>
      </c>
      <c r="S25" s="2">
        <v>48</v>
      </c>
      <c r="T25" s="2">
        <v>9</v>
      </c>
      <c r="U25" s="3">
        <f t="shared" si="8"/>
        <v>57</v>
      </c>
      <c r="V25" s="6">
        <f>727/15</f>
        <v>48.466666666666669</v>
      </c>
      <c r="W25" s="10">
        <v>35</v>
      </c>
      <c r="X25" s="10">
        <v>8</v>
      </c>
      <c r="Y25" s="3">
        <f t="shared" si="9"/>
        <v>43</v>
      </c>
      <c r="Z25" s="23">
        <f>548.5/15</f>
        <v>36.56666666666667</v>
      </c>
      <c r="AA25" s="2">
        <v>49</v>
      </c>
      <c r="AB25" s="2">
        <v>8</v>
      </c>
      <c r="AC25" s="3">
        <f t="shared" si="10"/>
        <v>57</v>
      </c>
      <c r="AD25" s="6">
        <f>805.5/15</f>
        <v>53.7</v>
      </c>
      <c r="AE25" s="10">
        <v>34</v>
      </c>
      <c r="AF25" s="10">
        <v>5</v>
      </c>
      <c r="AG25" s="3">
        <f t="shared" si="11"/>
        <v>39</v>
      </c>
      <c r="AH25" s="23">
        <f>533.5/15</f>
        <v>35.56666666666667</v>
      </c>
      <c r="AI25" s="2">
        <v>58</v>
      </c>
      <c r="AJ25" s="2">
        <v>8</v>
      </c>
      <c r="AK25" s="3">
        <f t="shared" si="12"/>
        <v>66</v>
      </c>
      <c r="AL25" s="6">
        <f>944.5/15</f>
        <v>62.966666666666669</v>
      </c>
      <c r="AM25" s="10">
        <v>45</v>
      </c>
      <c r="AN25" s="10">
        <v>6</v>
      </c>
      <c r="AO25" s="3">
        <f t="shared" si="13"/>
        <v>51</v>
      </c>
      <c r="AP25" s="23">
        <f>751.5/15</f>
        <v>50.1</v>
      </c>
      <c r="AQ25" s="2">
        <v>59</v>
      </c>
      <c r="AR25" s="2">
        <v>5</v>
      </c>
      <c r="AS25" s="3">
        <f t="shared" si="14"/>
        <v>64</v>
      </c>
      <c r="AT25" s="6">
        <f>902/15</f>
        <v>60.133333333333333</v>
      </c>
      <c r="AU25" s="10">
        <v>53</v>
      </c>
      <c r="AV25" s="10">
        <v>9</v>
      </c>
      <c r="AW25" s="3">
        <f t="shared" si="15"/>
        <v>62</v>
      </c>
      <c r="AX25" s="23">
        <f>862.5/15</f>
        <v>57.5</v>
      </c>
      <c r="AY25" s="2">
        <v>51</v>
      </c>
      <c r="AZ25" s="2">
        <v>7</v>
      </c>
      <c r="BA25" s="3">
        <f t="shared" si="16"/>
        <v>58</v>
      </c>
      <c r="BB25" s="6">
        <f>823/15</f>
        <v>54.866666666666667</v>
      </c>
      <c r="BC25" s="10">
        <v>54</v>
      </c>
      <c r="BD25" s="10">
        <v>5</v>
      </c>
      <c r="BE25" s="3">
        <f t="shared" si="17"/>
        <v>59</v>
      </c>
      <c r="BF25" s="23">
        <f>884.5/15</f>
        <v>58.966666666666669</v>
      </c>
    </row>
    <row r="26" spans="1:58" x14ac:dyDescent="0.2">
      <c r="A26" s="36" t="s">
        <v>60</v>
      </c>
      <c r="B26" s="8" t="s">
        <v>73</v>
      </c>
      <c r="C26" s="2">
        <v>33</v>
      </c>
      <c r="D26" s="2">
        <v>3</v>
      </c>
      <c r="E26" s="3">
        <f t="shared" si="4"/>
        <v>36</v>
      </c>
      <c r="F26" s="6">
        <v>36.4</v>
      </c>
      <c r="G26" s="10"/>
      <c r="H26" s="10"/>
      <c r="I26" s="3">
        <f t="shared" si="5"/>
        <v>0</v>
      </c>
      <c r="J26" s="23"/>
      <c r="K26" s="2">
        <v>26</v>
      </c>
      <c r="L26" s="2">
        <v>7</v>
      </c>
      <c r="M26" s="3">
        <f t="shared" si="6"/>
        <v>33</v>
      </c>
      <c r="N26" s="6">
        <f>446.5/15</f>
        <v>29.766666666666666</v>
      </c>
      <c r="O26" s="10">
        <v>27</v>
      </c>
      <c r="P26" s="10">
        <v>2</v>
      </c>
      <c r="Q26" s="3">
        <f t="shared" si="7"/>
        <v>29</v>
      </c>
      <c r="R26" s="23">
        <v>27.9</v>
      </c>
      <c r="S26" s="2">
        <v>26</v>
      </c>
      <c r="T26" s="2">
        <v>7</v>
      </c>
      <c r="U26" s="3">
        <f t="shared" si="8"/>
        <v>33</v>
      </c>
      <c r="V26" s="6">
        <f>428/15</f>
        <v>28.533333333333335</v>
      </c>
      <c r="W26" s="10">
        <v>21</v>
      </c>
      <c r="X26" s="10">
        <v>7</v>
      </c>
      <c r="Y26" s="3">
        <f t="shared" si="9"/>
        <v>28</v>
      </c>
      <c r="Z26" s="23">
        <f>354/15</f>
        <v>23.6</v>
      </c>
      <c r="AA26" s="2">
        <v>21</v>
      </c>
      <c r="AB26" s="2">
        <v>7</v>
      </c>
      <c r="AC26" s="3">
        <f t="shared" si="10"/>
        <v>28</v>
      </c>
      <c r="AD26" s="6">
        <f>363/15</f>
        <v>24.2</v>
      </c>
      <c r="AE26" s="10">
        <v>16</v>
      </c>
      <c r="AF26" s="10">
        <v>7</v>
      </c>
      <c r="AG26" s="3">
        <f t="shared" si="11"/>
        <v>23</v>
      </c>
      <c r="AH26" s="23">
        <f>269/15</f>
        <v>17.933333333333334</v>
      </c>
      <c r="AI26" s="2">
        <v>29</v>
      </c>
      <c r="AJ26" s="2">
        <v>6</v>
      </c>
      <c r="AK26" s="3">
        <f t="shared" si="12"/>
        <v>35</v>
      </c>
      <c r="AL26" s="6">
        <f>488.5/15</f>
        <v>32.56666666666667</v>
      </c>
      <c r="AM26" s="10">
        <v>20</v>
      </c>
      <c r="AN26" s="10">
        <v>5</v>
      </c>
      <c r="AO26" s="3">
        <f t="shared" si="13"/>
        <v>25</v>
      </c>
      <c r="AP26" s="23">
        <f>345.5/15</f>
        <v>23.033333333333335</v>
      </c>
      <c r="AQ26" s="2">
        <v>42</v>
      </c>
      <c r="AR26" s="2">
        <v>10</v>
      </c>
      <c r="AS26" s="3">
        <f t="shared" si="14"/>
        <v>52</v>
      </c>
      <c r="AT26" s="6">
        <f>699.5/15</f>
        <v>46.633333333333333</v>
      </c>
      <c r="AU26" s="10">
        <v>36</v>
      </c>
      <c r="AV26" s="10">
        <v>9</v>
      </c>
      <c r="AW26" s="3">
        <f t="shared" si="15"/>
        <v>45</v>
      </c>
      <c r="AX26" s="23">
        <f>615/15</f>
        <v>41</v>
      </c>
      <c r="AY26" s="2">
        <v>45</v>
      </c>
      <c r="AZ26" s="2">
        <v>5</v>
      </c>
      <c r="BA26" s="3">
        <f t="shared" si="16"/>
        <v>50</v>
      </c>
      <c r="BB26" s="6">
        <f>683.5/15</f>
        <v>45.56666666666667</v>
      </c>
      <c r="BC26" s="10">
        <v>36</v>
      </c>
      <c r="BD26" s="10">
        <v>6</v>
      </c>
      <c r="BE26" s="3">
        <f t="shared" si="17"/>
        <v>42</v>
      </c>
      <c r="BF26" s="23">
        <f>553/15</f>
        <v>36.866666666666667</v>
      </c>
    </row>
    <row r="27" spans="1:58" x14ac:dyDescent="0.2">
      <c r="A27" s="36" t="s">
        <v>62</v>
      </c>
      <c r="B27" s="8" t="s">
        <v>75</v>
      </c>
      <c r="C27" s="2">
        <v>1</v>
      </c>
      <c r="D27" s="2">
        <v>1</v>
      </c>
      <c r="E27" s="3">
        <f t="shared" si="4"/>
        <v>2</v>
      </c>
      <c r="F27" s="6">
        <v>1.4</v>
      </c>
      <c r="G27" s="10"/>
      <c r="H27" s="10"/>
      <c r="I27" s="3">
        <f t="shared" si="5"/>
        <v>0</v>
      </c>
      <c r="J27" s="23"/>
      <c r="K27" s="2">
        <v>4</v>
      </c>
      <c r="L27" s="2">
        <v>0</v>
      </c>
      <c r="M27" s="3">
        <f t="shared" si="6"/>
        <v>4</v>
      </c>
      <c r="N27" s="6">
        <f>55.5/15</f>
        <v>3.7</v>
      </c>
      <c r="O27" s="10">
        <v>2</v>
      </c>
      <c r="P27" s="10">
        <v>2</v>
      </c>
      <c r="Q27" s="3">
        <f t="shared" si="7"/>
        <v>4</v>
      </c>
      <c r="R27" s="23">
        <v>2.2999999999999998</v>
      </c>
      <c r="S27" s="2">
        <v>3</v>
      </c>
      <c r="T27" s="2">
        <v>1</v>
      </c>
      <c r="U27" s="3">
        <f t="shared" si="8"/>
        <v>4</v>
      </c>
      <c r="V27" s="6">
        <f>51/15</f>
        <v>3.4</v>
      </c>
      <c r="W27" s="10">
        <v>3</v>
      </c>
      <c r="X27" s="10">
        <v>1</v>
      </c>
      <c r="Y27" s="3">
        <f t="shared" si="9"/>
        <v>4</v>
      </c>
      <c r="Z27" s="23">
        <f>50/15</f>
        <v>3.3333333333333335</v>
      </c>
      <c r="AA27" s="2">
        <v>3</v>
      </c>
      <c r="AB27" s="2">
        <v>1</v>
      </c>
      <c r="AC27" s="3">
        <f t="shared" si="10"/>
        <v>4</v>
      </c>
      <c r="AD27" s="6">
        <f>56/15</f>
        <v>3.7333333333333334</v>
      </c>
      <c r="AE27" s="10">
        <v>3</v>
      </c>
      <c r="AF27" s="10">
        <v>1</v>
      </c>
      <c r="AG27" s="3">
        <f t="shared" si="11"/>
        <v>4</v>
      </c>
      <c r="AH27" s="23">
        <f>48/15</f>
        <v>3.2</v>
      </c>
      <c r="AI27" s="2">
        <v>6</v>
      </c>
      <c r="AJ27" s="2">
        <v>2</v>
      </c>
      <c r="AK27" s="3">
        <f t="shared" si="12"/>
        <v>8</v>
      </c>
      <c r="AL27" s="6">
        <f>105/15</f>
        <v>7</v>
      </c>
      <c r="AM27" s="10">
        <v>4</v>
      </c>
      <c r="AN27" s="10">
        <v>2</v>
      </c>
      <c r="AO27" s="3">
        <f t="shared" si="13"/>
        <v>6</v>
      </c>
      <c r="AP27" s="23">
        <f>73.5/15</f>
        <v>4.9000000000000004</v>
      </c>
      <c r="AQ27" s="2">
        <v>3</v>
      </c>
      <c r="AR27" s="2">
        <v>1</v>
      </c>
      <c r="AS27" s="3">
        <f t="shared" si="14"/>
        <v>4</v>
      </c>
      <c r="AT27" s="6">
        <f>57/15</f>
        <v>3.8</v>
      </c>
      <c r="AU27" s="10">
        <v>3</v>
      </c>
      <c r="AV27" s="10">
        <v>1</v>
      </c>
      <c r="AW27" s="3">
        <f t="shared" si="15"/>
        <v>4</v>
      </c>
      <c r="AX27" s="23">
        <f>53/15</f>
        <v>3.5333333333333332</v>
      </c>
      <c r="AY27" s="2">
        <v>2</v>
      </c>
      <c r="AZ27" s="2">
        <v>0</v>
      </c>
      <c r="BA27" s="3">
        <f t="shared" si="16"/>
        <v>2</v>
      </c>
      <c r="BB27" s="6">
        <f>30/15</f>
        <v>2</v>
      </c>
      <c r="BC27" s="10">
        <v>0</v>
      </c>
      <c r="BD27" s="10">
        <v>1</v>
      </c>
      <c r="BE27" s="3">
        <f t="shared" si="17"/>
        <v>1</v>
      </c>
      <c r="BF27" s="23">
        <f>10/15</f>
        <v>0.66666666666666663</v>
      </c>
    </row>
    <row r="28" spans="1:58" x14ac:dyDescent="0.2">
      <c r="A28" s="36" t="s">
        <v>63</v>
      </c>
      <c r="B28" s="8" t="s">
        <v>76</v>
      </c>
      <c r="C28" s="2">
        <v>65</v>
      </c>
      <c r="D28" s="2">
        <v>8</v>
      </c>
      <c r="E28" s="3">
        <f t="shared" si="4"/>
        <v>73</v>
      </c>
      <c r="F28" s="6">
        <v>69.2</v>
      </c>
      <c r="G28" s="10"/>
      <c r="H28" s="10"/>
      <c r="I28" s="3">
        <f t="shared" si="5"/>
        <v>0</v>
      </c>
      <c r="J28" s="23"/>
      <c r="K28" s="2">
        <v>59</v>
      </c>
      <c r="L28" s="2">
        <v>4</v>
      </c>
      <c r="M28" s="3">
        <f t="shared" si="6"/>
        <v>63</v>
      </c>
      <c r="N28" s="6">
        <f>965.5/15</f>
        <v>64.36666666666666</v>
      </c>
      <c r="O28" s="10">
        <v>52</v>
      </c>
      <c r="P28" s="10">
        <v>1</v>
      </c>
      <c r="Q28" s="3">
        <f t="shared" si="7"/>
        <v>53</v>
      </c>
      <c r="R28" s="23">
        <v>52.3</v>
      </c>
      <c r="S28" s="2">
        <v>54</v>
      </c>
      <c r="T28" s="2">
        <v>4</v>
      </c>
      <c r="U28" s="3">
        <f t="shared" si="8"/>
        <v>58</v>
      </c>
      <c r="V28" s="6">
        <f>857/15</f>
        <v>57.133333333333333</v>
      </c>
      <c r="W28" s="10">
        <v>47</v>
      </c>
      <c r="X28" s="10">
        <v>3</v>
      </c>
      <c r="Y28" s="3">
        <f t="shared" si="9"/>
        <v>50</v>
      </c>
      <c r="Z28" s="23">
        <f>784/15</f>
        <v>52.266666666666666</v>
      </c>
      <c r="AA28" s="2">
        <v>76</v>
      </c>
      <c r="AB28" s="2">
        <v>9</v>
      </c>
      <c r="AC28" s="3">
        <f t="shared" si="10"/>
        <v>85</v>
      </c>
      <c r="AD28" s="6">
        <f>1192/15</f>
        <v>79.466666666666669</v>
      </c>
      <c r="AE28" s="10">
        <v>67</v>
      </c>
      <c r="AF28" s="10">
        <v>10</v>
      </c>
      <c r="AG28" s="3">
        <f t="shared" si="11"/>
        <v>77</v>
      </c>
      <c r="AH28" s="23">
        <f>1085.5/15</f>
        <v>72.36666666666666</v>
      </c>
      <c r="AI28" s="2">
        <v>77</v>
      </c>
      <c r="AJ28" s="2">
        <v>7</v>
      </c>
      <c r="AK28" s="3">
        <f t="shared" si="12"/>
        <v>84</v>
      </c>
      <c r="AL28" s="6">
        <f>1302/15</f>
        <v>86.8</v>
      </c>
      <c r="AM28" s="10">
        <v>66</v>
      </c>
      <c r="AN28" s="10">
        <v>6</v>
      </c>
      <c r="AO28" s="3">
        <f t="shared" si="13"/>
        <v>72</v>
      </c>
      <c r="AP28" s="23">
        <f>1078.5/15</f>
        <v>71.900000000000006</v>
      </c>
      <c r="AQ28" s="2">
        <v>83</v>
      </c>
      <c r="AR28" s="2">
        <v>8</v>
      </c>
      <c r="AS28" s="3">
        <f t="shared" si="14"/>
        <v>91</v>
      </c>
      <c r="AT28" s="6">
        <f>1338/15</f>
        <v>89.2</v>
      </c>
      <c r="AU28" s="10">
        <v>68</v>
      </c>
      <c r="AV28" s="10">
        <v>14</v>
      </c>
      <c r="AW28" s="3">
        <f t="shared" si="15"/>
        <v>82</v>
      </c>
      <c r="AX28" s="23">
        <f>1186.5/15</f>
        <v>79.099999999999994</v>
      </c>
      <c r="AY28" s="2">
        <v>92</v>
      </c>
      <c r="AZ28" s="2">
        <v>8</v>
      </c>
      <c r="BA28" s="3">
        <f t="shared" si="16"/>
        <v>100</v>
      </c>
      <c r="BB28" s="6">
        <f>1530/15</f>
        <v>102</v>
      </c>
      <c r="BC28" s="10">
        <v>78</v>
      </c>
      <c r="BD28" s="10">
        <v>8</v>
      </c>
      <c r="BE28" s="3">
        <f t="shared" si="17"/>
        <v>86</v>
      </c>
      <c r="BF28" s="23">
        <f>1326.5/15</f>
        <v>88.433333333333337</v>
      </c>
    </row>
    <row r="29" spans="1:58" x14ac:dyDescent="0.2">
      <c r="A29" s="36" t="s">
        <v>64</v>
      </c>
      <c r="B29" s="8" t="s">
        <v>77</v>
      </c>
      <c r="C29" s="2">
        <v>20</v>
      </c>
      <c r="D29" s="2">
        <v>4</v>
      </c>
      <c r="E29" s="3">
        <f t="shared" si="4"/>
        <v>24</v>
      </c>
      <c r="F29" s="6">
        <v>22.3</v>
      </c>
      <c r="G29" s="10"/>
      <c r="H29" s="10"/>
      <c r="I29" s="3">
        <f t="shared" si="5"/>
        <v>0</v>
      </c>
      <c r="J29" s="23"/>
      <c r="K29" s="2">
        <v>20</v>
      </c>
      <c r="L29" s="2">
        <v>7</v>
      </c>
      <c r="M29" s="3">
        <f t="shared" si="6"/>
        <v>27</v>
      </c>
      <c r="N29" s="6">
        <f>347/15</f>
        <v>23.133333333333333</v>
      </c>
      <c r="O29" s="10">
        <v>19</v>
      </c>
      <c r="P29" s="10">
        <v>4</v>
      </c>
      <c r="Q29" s="3">
        <f t="shared" si="7"/>
        <v>23</v>
      </c>
      <c r="R29" s="23">
        <v>20.399999999999999</v>
      </c>
      <c r="S29" s="2">
        <v>27</v>
      </c>
      <c r="T29" s="2">
        <v>1</v>
      </c>
      <c r="U29" s="3">
        <f t="shared" si="8"/>
        <v>28</v>
      </c>
      <c r="V29" s="6">
        <f>420.5/15</f>
        <v>28.033333333333335</v>
      </c>
      <c r="W29" s="10">
        <v>19</v>
      </c>
      <c r="X29" s="10">
        <v>3</v>
      </c>
      <c r="Y29" s="3">
        <f t="shared" si="9"/>
        <v>22</v>
      </c>
      <c r="Z29" s="23">
        <f>300.5/15</f>
        <v>20.033333333333335</v>
      </c>
      <c r="AA29" s="2">
        <v>11</v>
      </c>
      <c r="AB29" s="2">
        <v>2</v>
      </c>
      <c r="AC29" s="3">
        <f t="shared" si="10"/>
        <v>13</v>
      </c>
      <c r="AD29" s="6">
        <f>189.5/15</f>
        <v>12.633333333333333</v>
      </c>
      <c r="AE29" s="10">
        <v>16</v>
      </c>
      <c r="AF29" s="10">
        <v>1</v>
      </c>
      <c r="AG29" s="3">
        <f t="shared" si="11"/>
        <v>17</v>
      </c>
      <c r="AH29" s="23">
        <f>260/15</f>
        <v>17.333333333333332</v>
      </c>
      <c r="AI29" s="2">
        <v>13</v>
      </c>
      <c r="AJ29" s="2">
        <v>3</v>
      </c>
      <c r="AK29" s="3">
        <f t="shared" si="12"/>
        <v>16</v>
      </c>
      <c r="AL29" s="6">
        <f>230/15</f>
        <v>15.333333333333334</v>
      </c>
      <c r="AM29" s="10">
        <v>15</v>
      </c>
      <c r="AN29" s="10">
        <v>1</v>
      </c>
      <c r="AO29" s="3">
        <f t="shared" si="13"/>
        <v>16</v>
      </c>
      <c r="AP29" s="23">
        <f>240.5/15</f>
        <v>16.033333333333335</v>
      </c>
      <c r="AQ29" s="2">
        <v>16</v>
      </c>
      <c r="AR29" s="2">
        <v>1</v>
      </c>
      <c r="AS29" s="3">
        <f t="shared" si="14"/>
        <v>17</v>
      </c>
      <c r="AT29" s="6">
        <f>259.5/15</f>
        <v>17.3</v>
      </c>
      <c r="AU29" s="10">
        <v>13</v>
      </c>
      <c r="AV29" s="10">
        <v>2</v>
      </c>
      <c r="AW29" s="3">
        <f t="shared" si="15"/>
        <v>15</v>
      </c>
      <c r="AX29" s="23">
        <f>221.5/15</f>
        <v>14.766666666666667</v>
      </c>
      <c r="AY29" s="2">
        <v>14</v>
      </c>
      <c r="AZ29" s="2">
        <v>2</v>
      </c>
      <c r="BA29" s="3">
        <f t="shared" si="16"/>
        <v>16</v>
      </c>
      <c r="BB29" s="6">
        <f>215.5/15</f>
        <v>14.366666666666667</v>
      </c>
      <c r="BC29" s="10">
        <v>10</v>
      </c>
      <c r="BD29" s="10">
        <v>0</v>
      </c>
      <c r="BE29" s="3">
        <f t="shared" si="17"/>
        <v>10</v>
      </c>
      <c r="BF29" s="23">
        <f>157/15</f>
        <v>10.466666666666667</v>
      </c>
    </row>
    <row r="30" spans="1:58" s="8" customFormat="1" hidden="1" x14ac:dyDescent="0.2">
      <c r="A30" s="37" t="s">
        <v>61</v>
      </c>
      <c r="B30" s="8" t="s">
        <v>74</v>
      </c>
      <c r="C30" s="29"/>
      <c r="D30" s="29"/>
      <c r="E30" s="30"/>
      <c r="F30" s="31"/>
      <c r="G30" s="29"/>
      <c r="H30" s="29"/>
      <c r="I30" s="30"/>
      <c r="J30" s="33"/>
      <c r="K30" s="29"/>
      <c r="L30" s="29"/>
      <c r="M30" s="30"/>
      <c r="N30" s="31"/>
      <c r="O30" s="29"/>
      <c r="P30" s="29"/>
      <c r="Q30" s="30"/>
      <c r="R30" s="33"/>
      <c r="S30" s="29"/>
      <c r="T30" s="29"/>
      <c r="U30" s="30"/>
      <c r="V30" s="31"/>
      <c r="W30" s="29"/>
      <c r="X30" s="29"/>
      <c r="Y30" s="30"/>
      <c r="Z30" s="33"/>
      <c r="AA30" s="29"/>
      <c r="AB30" s="29"/>
      <c r="AC30" s="30"/>
      <c r="AD30" s="31"/>
      <c r="AE30" s="29"/>
      <c r="AF30" s="29"/>
      <c r="AG30" s="30"/>
      <c r="AH30" s="33"/>
      <c r="AI30" s="5">
        <v>0</v>
      </c>
      <c r="AJ30" s="5">
        <v>1</v>
      </c>
      <c r="AK30" s="7">
        <f t="shared" si="12"/>
        <v>1</v>
      </c>
      <c r="AL30" s="6">
        <f>6/15</f>
        <v>0.4</v>
      </c>
      <c r="AM30" s="5">
        <v>0</v>
      </c>
      <c r="AN30" s="5">
        <v>0</v>
      </c>
      <c r="AO30" s="7">
        <f t="shared" si="13"/>
        <v>0</v>
      </c>
      <c r="AP30" s="23">
        <v>0</v>
      </c>
      <c r="AQ30" s="5">
        <v>0</v>
      </c>
      <c r="AR30" s="5">
        <v>1</v>
      </c>
      <c r="AS30" s="7">
        <f t="shared" si="14"/>
        <v>1</v>
      </c>
      <c r="AT30" s="6">
        <f>6/15</f>
        <v>0.4</v>
      </c>
      <c r="AU30" s="5">
        <v>0</v>
      </c>
      <c r="AV30" s="5">
        <v>0</v>
      </c>
      <c r="AW30" s="7">
        <f t="shared" si="15"/>
        <v>0</v>
      </c>
      <c r="AX30" s="23">
        <f>0/15</f>
        <v>0</v>
      </c>
      <c r="AY30" s="5">
        <v>0</v>
      </c>
      <c r="AZ30" s="5">
        <v>2</v>
      </c>
      <c r="BA30" s="7">
        <f t="shared" si="16"/>
        <v>2</v>
      </c>
      <c r="BB30" s="6">
        <f>12/15</f>
        <v>0.8</v>
      </c>
      <c r="BC30" s="5">
        <v>1</v>
      </c>
      <c r="BD30" s="5">
        <v>2</v>
      </c>
      <c r="BE30" s="7">
        <f t="shared" si="17"/>
        <v>3</v>
      </c>
      <c r="BF30" s="23">
        <f>25/15</f>
        <v>1.6666666666666667</v>
      </c>
    </row>
    <row r="31" spans="1:58" x14ac:dyDescent="0.2">
      <c r="A31" s="36" t="s">
        <v>68</v>
      </c>
      <c r="B31" s="8" t="s">
        <v>81</v>
      </c>
      <c r="C31" s="2">
        <v>0</v>
      </c>
      <c r="D31" s="2">
        <v>1</v>
      </c>
      <c r="E31" s="3">
        <f>SUM(C31:D31)</f>
        <v>1</v>
      </c>
      <c r="F31" s="6">
        <v>0.4</v>
      </c>
      <c r="G31" s="10"/>
      <c r="H31" s="10"/>
      <c r="I31" s="3">
        <f>SUM(G31:H31)</f>
        <v>0</v>
      </c>
      <c r="J31" s="23"/>
      <c r="K31" s="2">
        <v>0</v>
      </c>
      <c r="L31" s="2">
        <v>1</v>
      </c>
      <c r="M31" s="3">
        <f>SUM(K31:L31)</f>
        <v>1</v>
      </c>
      <c r="N31" s="6">
        <f>6/15</f>
        <v>0.4</v>
      </c>
      <c r="O31" s="10">
        <v>1</v>
      </c>
      <c r="P31" s="10">
        <v>1</v>
      </c>
      <c r="Q31" s="3">
        <f>SUM(O31:P31)</f>
        <v>2</v>
      </c>
      <c r="R31" s="23">
        <v>1.2</v>
      </c>
      <c r="S31" s="2">
        <v>1</v>
      </c>
      <c r="T31" s="2">
        <v>0</v>
      </c>
      <c r="U31" s="3">
        <f>SUM(S31:T31)</f>
        <v>1</v>
      </c>
      <c r="V31" s="6">
        <f>12/15</f>
        <v>0.8</v>
      </c>
      <c r="W31" s="10">
        <v>0</v>
      </c>
      <c r="X31" s="10">
        <v>1</v>
      </c>
      <c r="Y31" s="3">
        <f>SUM(W31:X31)</f>
        <v>1</v>
      </c>
      <c r="Z31" s="23">
        <f>6/15</f>
        <v>0.4</v>
      </c>
      <c r="AA31" s="2">
        <v>0</v>
      </c>
      <c r="AB31" s="2">
        <v>0</v>
      </c>
      <c r="AC31" s="3">
        <f>SUM(AA31:AB31)</f>
        <v>0</v>
      </c>
      <c r="AD31" s="6">
        <v>0</v>
      </c>
      <c r="AE31" s="10">
        <v>2</v>
      </c>
      <c r="AF31" s="10">
        <v>0</v>
      </c>
      <c r="AG31" s="3">
        <f>SUM(AE31:AF31)</f>
        <v>2</v>
      </c>
      <c r="AH31" s="23">
        <f>25/15</f>
        <v>1.6666666666666667</v>
      </c>
      <c r="AI31" s="2">
        <v>0</v>
      </c>
      <c r="AJ31" s="2">
        <v>1</v>
      </c>
      <c r="AK31" s="3">
        <f t="shared" si="12"/>
        <v>1</v>
      </c>
      <c r="AL31" s="6">
        <f>3/15</f>
        <v>0.2</v>
      </c>
      <c r="AM31" s="10">
        <v>0</v>
      </c>
      <c r="AN31" s="10">
        <v>0</v>
      </c>
      <c r="AO31" s="3">
        <f t="shared" si="13"/>
        <v>0</v>
      </c>
      <c r="AP31" s="23">
        <v>0</v>
      </c>
      <c r="AQ31" s="2">
        <v>1</v>
      </c>
      <c r="AR31" s="2">
        <v>0</v>
      </c>
      <c r="AS31" s="3">
        <f t="shared" si="14"/>
        <v>1</v>
      </c>
      <c r="AT31" s="6">
        <f>12/15</f>
        <v>0.8</v>
      </c>
      <c r="AU31" s="10">
        <v>0</v>
      </c>
      <c r="AV31" s="10">
        <v>0</v>
      </c>
      <c r="AW31" s="3">
        <f t="shared" si="15"/>
        <v>0</v>
      </c>
      <c r="AX31" s="23">
        <f>0/15</f>
        <v>0</v>
      </c>
      <c r="AY31" s="2">
        <v>0</v>
      </c>
      <c r="AZ31" s="2">
        <v>0</v>
      </c>
      <c r="BA31" s="3">
        <f t="shared" si="16"/>
        <v>0</v>
      </c>
      <c r="BB31" s="6">
        <v>0</v>
      </c>
      <c r="BC31" s="10">
        <v>0</v>
      </c>
      <c r="BD31" s="10">
        <v>0</v>
      </c>
      <c r="BE31" s="3">
        <f t="shared" si="17"/>
        <v>0</v>
      </c>
      <c r="BF31" s="23">
        <v>0</v>
      </c>
    </row>
    <row r="32" spans="1:58" x14ac:dyDescent="0.2">
      <c r="A32" s="38" t="s">
        <v>69</v>
      </c>
      <c r="B32" s="11" t="s">
        <v>82</v>
      </c>
      <c r="C32" s="14">
        <v>1</v>
      </c>
      <c r="D32" s="14">
        <v>1</v>
      </c>
      <c r="E32" s="12">
        <f>SUM(C32:D32)</f>
        <v>2</v>
      </c>
      <c r="F32" s="22">
        <v>1.3</v>
      </c>
      <c r="G32" s="13"/>
      <c r="H32" s="13"/>
      <c r="I32" s="12">
        <f>SUM(G32:H32)</f>
        <v>0</v>
      </c>
      <c r="J32" s="23"/>
      <c r="K32" s="14">
        <v>0</v>
      </c>
      <c r="L32" s="14">
        <v>2</v>
      </c>
      <c r="M32" s="12">
        <f>SUM(K32:L32)</f>
        <v>2</v>
      </c>
      <c r="N32" s="22">
        <f>9/15</f>
        <v>0.6</v>
      </c>
      <c r="O32" s="13">
        <v>0</v>
      </c>
      <c r="P32" s="13">
        <v>0</v>
      </c>
      <c r="Q32" s="12">
        <f>SUM(O32:P32)</f>
        <v>0</v>
      </c>
      <c r="R32" s="23">
        <v>0</v>
      </c>
      <c r="S32" s="14">
        <v>0</v>
      </c>
      <c r="T32" s="14">
        <v>2</v>
      </c>
      <c r="U32" s="12">
        <f>SUM(S32:T32)</f>
        <v>2</v>
      </c>
      <c r="V32" s="22">
        <f>12/15</f>
        <v>0.8</v>
      </c>
      <c r="W32" s="13">
        <v>0</v>
      </c>
      <c r="X32" s="13">
        <v>1</v>
      </c>
      <c r="Y32" s="12">
        <f>SUM(W32:X32)</f>
        <v>1</v>
      </c>
      <c r="Z32" s="23">
        <f>3/15</f>
        <v>0.2</v>
      </c>
      <c r="AA32" s="14">
        <v>2</v>
      </c>
      <c r="AB32" s="14">
        <v>3</v>
      </c>
      <c r="AC32" s="12">
        <f>SUM(AA32:AB32)</f>
        <v>5</v>
      </c>
      <c r="AD32" s="22">
        <f>42.5/15</f>
        <v>2.8333333333333335</v>
      </c>
      <c r="AE32" s="13">
        <v>1</v>
      </c>
      <c r="AF32" s="13">
        <v>3</v>
      </c>
      <c r="AG32" s="12">
        <f>SUM(AE32:AF32)</f>
        <v>4</v>
      </c>
      <c r="AH32" s="23">
        <f>27/15</f>
        <v>1.8</v>
      </c>
      <c r="AI32" s="14">
        <v>4</v>
      </c>
      <c r="AJ32" s="14">
        <v>3</v>
      </c>
      <c r="AK32" s="12">
        <f t="shared" si="12"/>
        <v>7</v>
      </c>
      <c r="AL32" s="22">
        <f>69/15</f>
        <v>4.5999999999999996</v>
      </c>
      <c r="AM32" s="13">
        <v>4</v>
      </c>
      <c r="AN32" s="13">
        <v>1</v>
      </c>
      <c r="AO32" s="12">
        <f t="shared" si="13"/>
        <v>5</v>
      </c>
      <c r="AP32" s="23">
        <f>52.5/15</f>
        <v>3.5</v>
      </c>
      <c r="AQ32" s="14">
        <v>2</v>
      </c>
      <c r="AR32" s="14">
        <v>1</v>
      </c>
      <c r="AS32" s="12">
        <f t="shared" si="14"/>
        <v>3</v>
      </c>
      <c r="AT32" s="22">
        <f>34.5/15</f>
        <v>2.2999999999999998</v>
      </c>
      <c r="AU32" s="13">
        <v>3</v>
      </c>
      <c r="AV32" s="13">
        <v>2</v>
      </c>
      <c r="AW32" s="12">
        <f t="shared" si="15"/>
        <v>5</v>
      </c>
      <c r="AX32" s="23">
        <f>55/15</f>
        <v>3.6666666666666665</v>
      </c>
      <c r="AY32" s="14">
        <v>0</v>
      </c>
      <c r="AZ32" s="14">
        <v>0</v>
      </c>
      <c r="BA32" s="12">
        <f t="shared" si="16"/>
        <v>0</v>
      </c>
      <c r="BB32" s="22">
        <v>0</v>
      </c>
      <c r="BC32" s="13">
        <v>2</v>
      </c>
      <c r="BD32" s="13">
        <v>2</v>
      </c>
      <c r="BE32" s="12">
        <f t="shared" si="17"/>
        <v>4</v>
      </c>
      <c r="BF32" s="23">
        <f>42/15</f>
        <v>2.8</v>
      </c>
    </row>
    <row r="33" spans="1:147" x14ac:dyDescent="0.2">
      <c r="B33" s="27" t="s">
        <v>7</v>
      </c>
      <c r="C33" s="43">
        <f t="shared" ref="C33:J33" si="18">SUM(C23:C32)</f>
        <v>226</v>
      </c>
      <c r="D33" s="43">
        <f t="shared" si="18"/>
        <v>35</v>
      </c>
      <c r="E33" s="45">
        <f t="shared" si="18"/>
        <v>261</v>
      </c>
      <c r="F33" s="39">
        <f t="shared" si="18"/>
        <v>246.70000000000002</v>
      </c>
      <c r="G33" s="43">
        <f t="shared" si="18"/>
        <v>0</v>
      </c>
      <c r="H33" s="43">
        <f t="shared" si="18"/>
        <v>0</v>
      </c>
      <c r="I33" s="45">
        <f t="shared" si="18"/>
        <v>0</v>
      </c>
      <c r="J33" s="39">
        <f t="shared" si="18"/>
        <v>0</v>
      </c>
      <c r="K33" s="43">
        <f t="shared" ref="K33:BF33" si="19">SUM(K23:K32)</f>
        <v>186</v>
      </c>
      <c r="L33" s="43">
        <f t="shared" si="19"/>
        <v>40</v>
      </c>
      <c r="M33" s="45">
        <f t="shared" si="19"/>
        <v>226</v>
      </c>
      <c r="N33" s="39">
        <f t="shared" si="19"/>
        <v>205.89999999999998</v>
      </c>
      <c r="O33" s="43">
        <f t="shared" si="19"/>
        <v>175</v>
      </c>
      <c r="P33" s="43">
        <f t="shared" si="19"/>
        <v>26</v>
      </c>
      <c r="Q33" s="45">
        <f t="shared" si="19"/>
        <v>201</v>
      </c>
      <c r="R33" s="39">
        <f t="shared" si="19"/>
        <v>183.4</v>
      </c>
      <c r="S33" s="43">
        <f t="shared" si="19"/>
        <v>219</v>
      </c>
      <c r="T33" s="43">
        <f t="shared" si="19"/>
        <v>30</v>
      </c>
      <c r="U33" s="45">
        <f t="shared" si="19"/>
        <v>249</v>
      </c>
      <c r="V33" s="39">
        <f t="shared" si="19"/>
        <v>231.23333333333335</v>
      </c>
      <c r="W33" s="43">
        <f t="shared" si="19"/>
        <v>179</v>
      </c>
      <c r="X33" s="43">
        <f t="shared" si="19"/>
        <v>33</v>
      </c>
      <c r="Y33" s="45">
        <f t="shared" si="19"/>
        <v>212</v>
      </c>
      <c r="Z33" s="39">
        <f t="shared" si="19"/>
        <v>196.36666666666665</v>
      </c>
      <c r="AA33" s="43">
        <f t="shared" si="19"/>
        <v>232</v>
      </c>
      <c r="AB33" s="43">
        <f t="shared" si="19"/>
        <v>35</v>
      </c>
      <c r="AC33" s="45">
        <f t="shared" si="19"/>
        <v>267</v>
      </c>
      <c r="AD33" s="39">
        <f t="shared" si="19"/>
        <v>249.96666666666667</v>
      </c>
      <c r="AE33" s="43">
        <f t="shared" si="19"/>
        <v>194</v>
      </c>
      <c r="AF33" s="43">
        <f t="shared" si="19"/>
        <v>38</v>
      </c>
      <c r="AG33" s="45">
        <f t="shared" si="19"/>
        <v>232</v>
      </c>
      <c r="AH33" s="39">
        <f t="shared" si="19"/>
        <v>212.26666666666668</v>
      </c>
      <c r="AI33" s="43">
        <f t="shared" si="19"/>
        <v>273</v>
      </c>
      <c r="AJ33" s="43">
        <f t="shared" si="19"/>
        <v>37</v>
      </c>
      <c r="AK33" s="45">
        <f t="shared" si="19"/>
        <v>310</v>
      </c>
      <c r="AL33" s="39">
        <f t="shared" si="19"/>
        <v>301.83333333333331</v>
      </c>
      <c r="AM33" s="43">
        <f t="shared" si="19"/>
        <v>227</v>
      </c>
      <c r="AN33" s="43">
        <f t="shared" si="19"/>
        <v>32</v>
      </c>
      <c r="AO33" s="45">
        <f t="shared" si="19"/>
        <v>259</v>
      </c>
      <c r="AP33" s="39">
        <f t="shared" si="19"/>
        <v>251.03333333333333</v>
      </c>
      <c r="AQ33" s="43">
        <f t="shared" si="19"/>
        <v>319</v>
      </c>
      <c r="AR33" s="43">
        <f t="shared" si="19"/>
        <v>41</v>
      </c>
      <c r="AS33" s="45">
        <f t="shared" si="19"/>
        <v>360</v>
      </c>
      <c r="AT33" s="39">
        <f t="shared" si="19"/>
        <v>346.93333333333334</v>
      </c>
      <c r="AU33" s="43">
        <f t="shared" si="19"/>
        <v>267</v>
      </c>
      <c r="AV33" s="43">
        <f t="shared" si="19"/>
        <v>51</v>
      </c>
      <c r="AW33" s="45">
        <f t="shared" si="19"/>
        <v>318</v>
      </c>
      <c r="AX33" s="39">
        <f t="shared" si="19"/>
        <v>300.26666666666665</v>
      </c>
      <c r="AY33" s="43">
        <f t="shared" si="19"/>
        <v>335</v>
      </c>
      <c r="AZ33" s="43">
        <f t="shared" si="19"/>
        <v>32</v>
      </c>
      <c r="BA33" s="45">
        <f t="shared" si="19"/>
        <v>367</v>
      </c>
      <c r="BB33" s="39">
        <f t="shared" si="19"/>
        <v>359.26666666666671</v>
      </c>
      <c r="BC33" s="43">
        <f t="shared" si="19"/>
        <v>303</v>
      </c>
      <c r="BD33" s="43">
        <f t="shared" si="19"/>
        <v>35</v>
      </c>
      <c r="BE33" s="45">
        <f t="shared" si="19"/>
        <v>338</v>
      </c>
      <c r="BF33" s="39">
        <f t="shared" si="19"/>
        <v>328.16666666666669</v>
      </c>
    </row>
    <row r="34" spans="1:147" x14ac:dyDescent="0.2">
      <c r="B34" s="8"/>
      <c r="C34" s="20"/>
      <c r="D34" s="20"/>
      <c r="E34" s="15"/>
      <c r="G34" s="20"/>
      <c r="H34" s="20"/>
      <c r="I34" s="26" t="s">
        <v>8</v>
      </c>
      <c r="J34" s="6">
        <f>(F33+J33)/2</f>
        <v>123.35000000000001</v>
      </c>
      <c r="K34" s="20"/>
      <c r="L34" s="20"/>
      <c r="M34" s="15"/>
      <c r="O34" s="20"/>
      <c r="P34" s="20"/>
      <c r="Q34" s="26" t="s">
        <v>8</v>
      </c>
      <c r="R34" s="6">
        <f>(N33+R33)/2</f>
        <v>194.64999999999998</v>
      </c>
      <c r="S34" s="20"/>
      <c r="T34" s="20"/>
      <c r="U34" s="15"/>
      <c r="W34" s="20"/>
      <c r="X34" s="20"/>
      <c r="Y34" s="26" t="s">
        <v>8</v>
      </c>
      <c r="Z34" s="6">
        <f>(V33+Z33)/2</f>
        <v>213.8</v>
      </c>
      <c r="AA34" s="20"/>
      <c r="AB34" s="20"/>
      <c r="AC34" s="15"/>
      <c r="AE34" s="20"/>
      <c r="AF34" s="20"/>
      <c r="AG34" s="26" t="s">
        <v>8</v>
      </c>
      <c r="AH34" s="6">
        <f>(AD33+AH33)/2</f>
        <v>231.11666666666667</v>
      </c>
      <c r="AI34" s="20"/>
      <c r="AJ34" s="20"/>
      <c r="AK34" s="15"/>
      <c r="AM34" s="20"/>
      <c r="AN34" s="20"/>
      <c r="AO34" s="26" t="s">
        <v>8</v>
      </c>
      <c r="AP34" s="6">
        <f>(AL33+AP33)/2</f>
        <v>276.43333333333334</v>
      </c>
      <c r="AQ34" s="20"/>
      <c r="AR34" s="20"/>
      <c r="AS34" s="15"/>
      <c r="AU34" s="20"/>
      <c r="AV34" s="20"/>
      <c r="AW34" s="26" t="s">
        <v>8</v>
      </c>
      <c r="AX34" s="6">
        <f>(AT33+AX33)/2</f>
        <v>323.60000000000002</v>
      </c>
      <c r="AY34" s="20"/>
      <c r="AZ34" s="20"/>
      <c r="BA34" s="15"/>
      <c r="BC34" s="20"/>
      <c r="BD34" s="20"/>
      <c r="BE34" s="26" t="s">
        <v>8</v>
      </c>
      <c r="BF34" s="6">
        <f>(BB33+BF33)/2</f>
        <v>343.7166666666667</v>
      </c>
    </row>
    <row r="35" spans="1:147" x14ac:dyDescent="0.2">
      <c r="B35" s="4"/>
      <c r="E35" s="7"/>
      <c r="G35" s="2"/>
      <c r="H35" s="2"/>
      <c r="I35" s="7"/>
      <c r="J35" s="6"/>
      <c r="M35" s="7"/>
      <c r="O35" s="2"/>
      <c r="P35" s="2"/>
      <c r="Q35" s="7"/>
      <c r="R35" s="6"/>
      <c r="U35" s="7"/>
      <c r="W35" s="2"/>
      <c r="X35" s="2"/>
      <c r="Y35" s="7"/>
      <c r="Z35" s="6"/>
      <c r="AC35" s="7"/>
      <c r="AE35" s="2"/>
      <c r="AF35" s="2"/>
      <c r="AG35" s="7"/>
      <c r="AH35" s="6"/>
      <c r="AK35" s="7"/>
      <c r="AM35" s="2"/>
      <c r="AN35" s="2"/>
      <c r="AO35" s="7"/>
      <c r="AP35" s="6"/>
      <c r="AS35" s="7"/>
      <c r="AU35" s="2"/>
      <c r="AV35" s="2"/>
      <c r="AW35" s="7"/>
      <c r="AX35" s="6"/>
      <c r="BA35" s="7"/>
      <c r="BC35" s="2"/>
      <c r="BD35" s="2"/>
      <c r="BE35" s="7"/>
      <c r="BF35" s="6"/>
    </row>
    <row r="36" spans="1:147" x14ac:dyDescent="0.2">
      <c r="B36" s="8"/>
      <c r="E36" s="3" t="s">
        <v>263</v>
      </c>
      <c r="F36" s="21"/>
      <c r="I36" s="3" t="s">
        <v>264</v>
      </c>
      <c r="J36" s="6"/>
      <c r="M36" s="3" t="s">
        <v>232</v>
      </c>
      <c r="N36" s="21"/>
      <c r="Q36" s="3" t="s">
        <v>233</v>
      </c>
      <c r="R36" s="6"/>
      <c r="U36" s="3" t="s">
        <v>225</v>
      </c>
      <c r="V36" s="21"/>
      <c r="Y36" s="3" t="s">
        <v>226</v>
      </c>
      <c r="Z36" s="6"/>
      <c r="AC36" s="3" t="s">
        <v>221</v>
      </c>
      <c r="AD36" s="21"/>
      <c r="AG36" s="3" t="s">
        <v>222</v>
      </c>
      <c r="AH36" s="6"/>
      <c r="AK36" s="3" t="s">
        <v>215</v>
      </c>
      <c r="AL36" s="21"/>
      <c r="AO36" s="3" t="s">
        <v>216</v>
      </c>
      <c r="AP36" s="6"/>
      <c r="AS36" s="3" t="s">
        <v>209</v>
      </c>
      <c r="AT36" s="21"/>
      <c r="AW36" s="3" t="s">
        <v>210</v>
      </c>
      <c r="AX36" s="6"/>
      <c r="BA36" s="3" t="s">
        <v>205</v>
      </c>
      <c r="BB36" s="21"/>
      <c r="BE36" s="3" t="s">
        <v>206</v>
      </c>
      <c r="BF36" s="6"/>
    </row>
    <row r="37" spans="1:147" x14ac:dyDescent="0.2">
      <c r="B37" s="4" t="s">
        <v>236</v>
      </c>
      <c r="C37" s="2" t="s">
        <v>0</v>
      </c>
      <c r="D37" s="2" t="s">
        <v>1</v>
      </c>
      <c r="E37" s="7" t="s">
        <v>5</v>
      </c>
      <c r="F37" s="6" t="s">
        <v>6</v>
      </c>
      <c r="G37" s="2" t="s">
        <v>0</v>
      </c>
      <c r="H37" s="2" t="s">
        <v>1</v>
      </c>
      <c r="I37" s="7" t="s">
        <v>5</v>
      </c>
      <c r="J37" s="6" t="s">
        <v>6</v>
      </c>
      <c r="K37" s="2" t="s">
        <v>0</v>
      </c>
      <c r="L37" s="2" t="s">
        <v>1</v>
      </c>
      <c r="M37" s="7" t="s">
        <v>5</v>
      </c>
      <c r="N37" s="6" t="s">
        <v>6</v>
      </c>
      <c r="O37" s="2" t="s">
        <v>0</v>
      </c>
      <c r="P37" s="2" t="s">
        <v>1</v>
      </c>
      <c r="Q37" s="7" t="s">
        <v>5</v>
      </c>
      <c r="R37" s="6" t="s">
        <v>6</v>
      </c>
      <c r="S37" s="2" t="s">
        <v>0</v>
      </c>
      <c r="T37" s="2" t="s">
        <v>1</v>
      </c>
      <c r="U37" s="7" t="s">
        <v>5</v>
      </c>
      <c r="V37" s="6" t="s">
        <v>6</v>
      </c>
      <c r="W37" s="2" t="s">
        <v>0</v>
      </c>
      <c r="X37" s="2" t="s">
        <v>1</v>
      </c>
      <c r="Y37" s="7" t="s">
        <v>5</v>
      </c>
      <c r="Z37" s="6" t="s">
        <v>6</v>
      </c>
      <c r="AA37" s="2" t="s">
        <v>0</v>
      </c>
      <c r="AB37" s="2" t="s">
        <v>1</v>
      </c>
      <c r="AC37" s="7" t="s">
        <v>5</v>
      </c>
      <c r="AD37" s="6" t="s">
        <v>6</v>
      </c>
      <c r="AE37" s="2" t="s">
        <v>0</v>
      </c>
      <c r="AF37" s="2" t="s">
        <v>1</v>
      </c>
      <c r="AG37" s="7" t="s">
        <v>5</v>
      </c>
      <c r="AH37" s="6" t="s">
        <v>6</v>
      </c>
      <c r="AI37" s="2" t="s">
        <v>0</v>
      </c>
      <c r="AJ37" s="2" t="s">
        <v>1</v>
      </c>
      <c r="AK37" s="7" t="s">
        <v>5</v>
      </c>
      <c r="AL37" s="6" t="s">
        <v>6</v>
      </c>
      <c r="AM37" s="2" t="s">
        <v>0</v>
      </c>
      <c r="AN37" s="2" t="s">
        <v>1</v>
      </c>
      <c r="AO37" s="7" t="s">
        <v>5</v>
      </c>
      <c r="AP37" s="6" t="s">
        <v>6</v>
      </c>
      <c r="AQ37" s="2" t="s">
        <v>0</v>
      </c>
      <c r="AR37" s="2" t="s">
        <v>1</v>
      </c>
      <c r="AS37" s="7" t="s">
        <v>5</v>
      </c>
      <c r="AT37" s="6" t="s">
        <v>6</v>
      </c>
      <c r="AU37" s="2" t="s">
        <v>0</v>
      </c>
      <c r="AV37" s="2" t="s">
        <v>1</v>
      </c>
      <c r="AW37" s="7" t="s">
        <v>5</v>
      </c>
      <c r="AX37" s="6" t="s">
        <v>6</v>
      </c>
      <c r="AY37" s="2" t="s">
        <v>0</v>
      </c>
      <c r="AZ37" s="2" t="s">
        <v>1</v>
      </c>
      <c r="BA37" s="7" t="s">
        <v>5</v>
      </c>
      <c r="BB37" s="6" t="s">
        <v>6</v>
      </c>
      <c r="BC37" s="2" t="s">
        <v>0</v>
      </c>
      <c r="BD37" s="2" t="s">
        <v>1</v>
      </c>
      <c r="BE37" s="7" t="s">
        <v>5</v>
      </c>
      <c r="BF37" s="6" t="s">
        <v>6</v>
      </c>
    </row>
    <row r="38" spans="1:147" x14ac:dyDescent="0.2">
      <c r="A38" s="36" t="s">
        <v>10</v>
      </c>
      <c r="B38" s="8" t="s">
        <v>35</v>
      </c>
      <c r="C38" s="2">
        <v>16</v>
      </c>
      <c r="D38" s="2">
        <v>7</v>
      </c>
      <c r="E38" s="3">
        <f t="shared" ref="E38:E55" si="20">SUM(C38:D38)</f>
        <v>23</v>
      </c>
      <c r="F38" s="6">
        <v>18.600000000000001</v>
      </c>
      <c r="G38" s="10"/>
      <c r="H38" s="10"/>
      <c r="I38" s="3">
        <f t="shared" ref="I38:I55" si="21">SUM(G38:H38)</f>
        <v>0</v>
      </c>
      <c r="J38" s="23"/>
      <c r="K38" s="2">
        <v>22</v>
      </c>
      <c r="L38" s="2">
        <v>4</v>
      </c>
      <c r="M38" s="3">
        <f t="shared" ref="M38:M55" si="22">SUM(K38:L38)</f>
        <v>26</v>
      </c>
      <c r="N38" s="6">
        <f>328/15</f>
        <v>21.866666666666667</v>
      </c>
      <c r="O38" s="10">
        <v>20</v>
      </c>
      <c r="P38" s="10">
        <v>5</v>
      </c>
      <c r="Q38" s="3">
        <f t="shared" ref="Q38:Q52" si="23">SUM(O38:P38)</f>
        <v>25</v>
      </c>
      <c r="R38" s="23">
        <v>21.7</v>
      </c>
      <c r="S38" s="2">
        <v>15</v>
      </c>
      <c r="T38" s="2">
        <v>6</v>
      </c>
      <c r="U38" s="3">
        <f t="shared" ref="U38:U55" si="24">SUM(S38:T38)</f>
        <v>21</v>
      </c>
      <c r="V38" s="6">
        <f>241/15</f>
        <v>16.066666666666666</v>
      </c>
      <c r="W38" s="10">
        <v>14</v>
      </c>
      <c r="X38" s="10">
        <v>6</v>
      </c>
      <c r="Y38" s="3">
        <f t="shared" ref="Y38:Y55" si="25">SUM(W38:X38)</f>
        <v>20</v>
      </c>
      <c r="Z38" s="23">
        <f>232/15</f>
        <v>15.466666666666667</v>
      </c>
      <c r="AA38" s="2">
        <v>17</v>
      </c>
      <c r="AB38" s="2">
        <v>7</v>
      </c>
      <c r="AC38" s="3">
        <f t="shared" ref="AC38:AC56" si="26">SUM(AA38:AB38)</f>
        <v>24</v>
      </c>
      <c r="AD38" s="6">
        <f>288/15</f>
        <v>19.2</v>
      </c>
      <c r="AE38" s="10">
        <v>19</v>
      </c>
      <c r="AF38" s="10">
        <v>4</v>
      </c>
      <c r="AG38" s="3">
        <f t="shared" ref="AG38:AG56" si="27">SUM(AE38:AF38)</f>
        <v>23</v>
      </c>
      <c r="AH38" s="23">
        <f>302/15</f>
        <v>20.133333333333333</v>
      </c>
      <c r="AI38" s="2">
        <v>24</v>
      </c>
      <c r="AJ38" s="2">
        <v>11</v>
      </c>
      <c r="AK38" s="3">
        <f t="shared" ref="AK38:AK47" si="28">SUM(AI38:AJ38)</f>
        <v>35</v>
      </c>
      <c r="AL38" s="6">
        <f>400.5/15</f>
        <v>26.7</v>
      </c>
      <c r="AM38" s="10">
        <v>16</v>
      </c>
      <c r="AN38" s="10">
        <v>8</v>
      </c>
      <c r="AO38" s="3">
        <f t="shared" ref="AO38:AO47" si="29">SUM(AM38:AN38)</f>
        <v>24</v>
      </c>
      <c r="AP38" s="23">
        <f>267/15</f>
        <v>17.8</v>
      </c>
      <c r="AQ38" s="2">
        <v>13</v>
      </c>
      <c r="AR38" s="2">
        <v>6</v>
      </c>
      <c r="AS38" s="3">
        <f t="shared" ref="AS38:AS47" si="30">SUM(AQ38:AR38)</f>
        <v>19</v>
      </c>
      <c r="AT38" s="6">
        <f>218/15</f>
        <v>14.533333333333333</v>
      </c>
      <c r="AU38" s="10">
        <v>18</v>
      </c>
      <c r="AV38" s="10">
        <v>10</v>
      </c>
      <c r="AW38" s="3">
        <f t="shared" ref="AW38:AW47" si="31">SUM(AU38:AV38)</f>
        <v>28</v>
      </c>
      <c r="AX38" s="23">
        <f>310/15</f>
        <v>20.666666666666668</v>
      </c>
      <c r="AY38" s="2">
        <v>30</v>
      </c>
      <c r="AZ38" s="2">
        <v>8</v>
      </c>
      <c r="BA38" s="3">
        <f t="shared" ref="BA38:BA45" si="32">SUM(AY38:AZ38)</f>
        <v>38</v>
      </c>
      <c r="BB38" s="6">
        <f>(479)/15</f>
        <v>31.933333333333334</v>
      </c>
      <c r="BC38" s="10">
        <v>25</v>
      </c>
      <c r="BD38" s="10">
        <v>12</v>
      </c>
      <c r="BE38" s="3">
        <f t="shared" ref="BE38:BE45" si="33">SUM(BC38:BD38)</f>
        <v>37</v>
      </c>
      <c r="BF38" s="23">
        <f>451/15</f>
        <v>30.066666666666666</v>
      </c>
    </row>
    <row r="39" spans="1:147" x14ac:dyDescent="0.2">
      <c r="A39" s="36" t="s">
        <v>11</v>
      </c>
      <c r="B39" s="9" t="s">
        <v>36</v>
      </c>
      <c r="C39" s="28">
        <v>3</v>
      </c>
      <c r="D39" s="28">
        <v>3</v>
      </c>
      <c r="E39" s="3">
        <f t="shared" si="20"/>
        <v>6</v>
      </c>
      <c r="F39" s="6">
        <v>4.0999999999999996</v>
      </c>
      <c r="G39" s="10"/>
      <c r="H39" s="10"/>
      <c r="I39" s="3">
        <f t="shared" si="21"/>
        <v>0</v>
      </c>
      <c r="J39" s="23"/>
      <c r="K39" s="28">
        <v>3</v>
      </c>
      <c r="L39" s="28">
        <v>1</v>
      </c>
      <c r="M39" s="3">
        <f t="shared" si="22"/>
        <v>4</v>
      </c>
      <c r="N39" s="6">
        <f>47/15</f>
        <v>3.1333333333333333</v>
      </c>
      <c r="O39" s="10">
        <v>0</v>
      </c>
      <c r="P39" s="10">
        <v>1</v>
      </c>
      <c r="Q39" s="3">
        <f t="shared" si="23"/>
        <v>1</v>
      </c>
      <c r="R39" s="23">
        <v>0.4</v>
      </c>
      <c r="S39" s="28">
        <v>3</v>
      </c>
      <c r="T39" s="28">
        <v>3</v>
      </c>
      <c r="U39" s="3">
        <f t="shared" si="24"/>
        <v>6</v>
      </c>
      <c r="V39" s="6">
        <f>57/15</f>
        <v>3.8</v>
      </c>
      <c r="W39" s="10">
        <v>4</v>
      </c>
      <c r="X39" s="10">
        <v>1</v>
      </c>
      <c r="Y39" s="3">
        <f t="shared" si="25"/>
        <v>5</v>
      </c>
      <c r="Z39" s="23">
        <f>62/15</f>
        <v>4.1333333333333337</v>
      </c>
      <c r="AA39" s="28">
        <v>9</v>
      </c>
      <c r="AB39" s="28">
        <v>4</v>
      </c>
      <c r="AC39" s="3">
        <f t="shared" si="26"/>
        <v>13</v>
      </c>
      <c r="AD39" s="6">
        <f>149/15</f>
        <v>9.9333333333333336</v>
      </c>
      <c r="AE39" s="10">
        <v>5</v>
      </c>
      <c r="AF39" s="10">
        <v>4</v>
      </c>
      <c r="AG39" s="3">
        <f t="shared" si="27"/>
        <v>9</v>
      </c>
      <c r="AH39" s="23">
        <f>102/15</f>
        <v>6.8</v>
      </c>
      <c r="AI39" s="28">
        <v>5</v>
      </c>
      <c r="AJ39" s="28">
        <v>1</v>
      </c>
      <c r="AK39" s="3">
        <f t="shared" si="28"/>
        <v>6</v>
      </c>
      <c r="AL39" s="6">
        <f>70/15</f>
        <v>4.666666666666667</v>
      </c>
      <c r="AM39" s="10">
        <v>6</v>
      </c>
      <c r="AN39" s="10">
        <v>3</v>
      </c>
      <c r="AO39" s="3">
        <f t="shared" si="29"/>
        <v>9</v>
      </c>
      <c r="AP39" s="23">
        <f>103/15</f>
        <v>6.8666666666666663</v>
      </c>
      <c r="AQ39" s="28">
        <v>5</v>
      </c>
      <c r="AR39" s="28">
        <v>1</v>
      </c>
      <c r="AS39" s="3">
        <f t="shared" si="30"/>
        <v>6</v>
      </c>
      <c r="AT39" s="6">
        <f>73/15</f>
        <v>4.8666666666666663</v>
      </c>
      <c r="AU39" s="10">
        <v>3</v>
      </c>
      <c r="AV39" s="10">
        <v>1</v>
      </c>
      <c r="AW39" s="3">
        <f t="shared" si="31"/>
        <v>4</v>
      </c>
      <c r="AX39" s="23">
        <f>51/15</f>
        <v>3.4</v>
      </c>
      <c r="AY39" s="28">
        <v>10</v>
      </c>
      <c r="AZ39" s="28">
        <v>6</v>
      </c>
      <c r="BA39" s="3">
        <f t="shared" si="32"/>
        <v>16</v>
      </c>
      <c r="BB39" s="6">
        <f>(170)/15</f>
        <v>11.333333333333334</v>
      </c>
      <c r="BC39" s="10">
        <v>9</v>
      </c>
      <c r="BD39" s="10">
        <v>1</v>
      </c>
      <c r="BE39" s="3">
        <f t="shared" si="33"/>
        <v>10</v>
      </c>
      <c r="BF39" s="23">
        <f>142/15</f>
        <v>9.4666666666666668</v>
      </c>
    </row>
    <row r="40" spans="1:147" x14ac:dyDescent="0.2">
      <c r="A40" s="36" t="s">
        <v>12</v>
      </c>
      <c r="B40" s="8" t="s">
        <v>37</v>
      </c>
      <c r="C40" s="2">
        <v>202</v>
      </c>
      <c r="D40" s="2">
        <v>70</v>
      </c>
      <c r="E40" s="3">
        <f t="shared" si="20"/>
        <v>272</v>
      </c>
      <c r="F40" s="6">
        <v>231.3</v>
      </c>
      <c r="G40" s="10"/>
      <c r="H40" s="10"/>
      <c r="I40" s="3">
        <f t="shared" si="21"/>
        <v>0</v>
      </c>
      <c r="J40" s="23"/>
      <c r="K40" s="2">
        <v>199</v>
      </c>
      <c r="L40" s="2">
        <v>57</v>
      </c>
      <c r="M40" s="3">
        <f t="shared" si="22"/>
        <v>256</v>
      </c>
      <c r="N40" s="6">
        <f>3227.5/15</f>
        <v>215.16666666666666</v>
      </c>
      <c r="O40" s="10">
        <v>164</v>
      </c>
      <c r="P40" s="10">
        <v>48</v>
      </c>
      <c r="Q40" s="3">
        <f t="shared" si="23"/>
        <v>212</v>
      </c>
      <c r="R40" s="23">
        <v>179.6</v>
      </c>
      <c r="S40" s="2">
        <v>187</v>
      </c>
      <c r="T40" s="2">
        <v>48</v>
      </c>
      <c r="U40" s="3">
        <f t="shared" si="24"/>
        <v>235</v>
      </c>
      <c r="V40" s="6">
        <f>3088/15</f>
        <v>205.86666666666667</v>
      </c>
      <c r="W40" s="10">
        <v>141</v>
      </c>
      <c r="X40" s="10">
        <v>38</v>
      </c>
      <c r="Y40" s="3">
        <f t="shared" si="25"/>
        <v>179</v>
      </c>
      <c r="Z40" s="23">
        <f>2295/15</f>
        <v>153</v>
      </c>
      <c r="AA40" s="2">
        <v>194</v>
      </c>
      <c r="AB40" s="2">
        <v>67</v>
      </c>
      <c r="AC40" s="3">
        <f t="shared" si="26"/>
        <v>261</v>
      </c>
      <c r="AD40" s="6">
        <f>3301.5/15</f>
        <v>220.1</v>
      </c>
      <c r="AE40" s="10">
        <v>168</v>
      </c>
      <c r="AF40" s="10">
        <v>59</v>
      </c>
      <c r="AG40" s="3">
        <f t="shared" si="27"/>
        <v>227</v>
      </c>
      <c r="AH40" s="23">
        <f>2875/15</f>
        <v>191.66666666666666</v>
      </c>
      <c r="AI40" s="2">
        <v>219</v>
      </c>
      <c r="AJ40" s="2">
        <v>76</v>
      </c>
      <c r="AK40" s="3">
        <f t="shared" si="28"/>
        <v>295</v>
      </c>
      <c r="AL40" s="6">
        <f>(3746+10)/15</f>
        <v>250.4</v>
      </c>
      <c r="AM40" s="10">
        <v>185</v>
      </c>
      <c r="AN40" s="10">
        <v>61</v>
      </c>
      <c r="AO40" s="3">
        <f t="shared" si="29"/>
        <v>246</v>
      </c>
      <c r="AP40" s="23">
        <f>3083.5/15</f>
        <v>205.56666666666666</v>
      </c>
      <c r="AQ40" s="2">
        <v>199</v>
      </c>
      <c r="AR40" s="2">
        <v>62</v>
      </c>
      <c r="AS40" s="3">
        <f t="shared" si="30"/>
        <v>261</v>
      </c>
      <c r="AT40" s="6">
        <f>3281/15</f>
        <v>218.73333333333332</v>
      </c>
      <c r="AU40" s="10">
        <v>175</v>
      </c>
      <c r="AV40" s="10">
        <v>67</v>
      </c>
      <c r="AW40" s="3">
        <f t="shared" si="31"/>
        <v>242</v>
      </c>
      <c r="AX40" s="23">
        <f>2956/15</f>
        <v>197.06666666666666</v>
      </c>
      <c r="AY40" s="2">
        <v>219</v>
      </c>
      <c r="AZ40" s="2">
        <v>61</v>
      </c>
      <c r="BA40" s="3">
        <f t="shared" si="32"/>
        <v>280</v>
      </c>
      <c r="BB40" s="6">
        <f>(3586)/15</f>
        <v>239.06666666666666</v>
      </c>
      <c r="BC40" s="10">
        <v>181</v>
      </c>
      <c r="BD40" s="10">
        <v>56</v>
      </c>
      <c r="BE40" s="3">
        <f t="shared" si="33"/>
        <v>237</v>
      </c>
      <c r="BF40" s="23">
        <f>3001/15</f>
        <v>200.06666666666666</v>
      </c>
    </row>
    <row r="41" spans="1:147" x14ac:dyDescent="0.2">
      <c r="A41" s="36" t="s">
        <v>13</v>
      </c>
      <c r="B41" s="8" t="s">
        <v>38</v>
      </c>
      <c r="C41" s="2">
        <v>86</v>
      </c>
      <c r="D41" s="2">
        <v>28</v>
      </c>
      <c r="E41" s="3">
        <f t="shared" si="20"/>
        <v>114</v>
      </c>
      <c r="F41" s="6">
        <v>95.8</v>
      </c>
      <c r="G41" s="10"/>
      <c r="H41" s="10"/>
      <c r="I41" s="3">
        <f t="shared" si="21"/>
        <v>0</v>
      </c>
      <c r="J41" s="23"/>
      <c r="K41" s="2">
        <v>70</v>
      </c>
      <c r="L41" s="2">
        <v>31</v>
      </c>
      <c r="M41" s="3">
        <f t="shared" si="22"/>
        <v>101</v>
      </c>
      <c r="N41" s="6">
        <f>1191.5/15</f>
        <v>79.433333333333337</v>
      </c>
      <c r="O41" s="10">
        <v>60</v>
      </c>
      <c r="P41" s="10">
        <v>26</v>
      </c>
      <c r="Q41" s="3">
        <f t="shared" si="23"/>
        <v>86</v>
      </c>
      <c r="R41" s="23">
        <v>67.099999999999994</v>
      </c>
      <c r="S41" s="2">
        <v>98</v>
      </c>
      <c r="T41" s="2">
        <v>38</v>
      </c>
      <c r="U41" s="3">
        <f t="shared" si="24"/>
        <v>136</v>
      </c>
      <c r="V41" s="6">
        <f>1634.5/15</f>
        <v>108.96666666666667</v>
      </c>
      <c r="W41" s="10">
        <v>74</v>
      </c>
      <c r="X41" s="10">
        <v>33</v>
      </c>
      <c r="Y41" s="3">
        <f t="shared" si="25"/>
        <v>107</v>
      </c>
      <c r="Z41" s="23">
        <f>1277.5/15</f>
        <v>85.166666666666671</v>
      </c>
      <c r="AA41" s="2">
        <v>117</v>
      </c>
      <c r="AB41" s="2">
        <v>40</v>
      </c>
      <c r="AC41" s="3">
        <f t="shared" si="26"/>
        <v>157</v>
      </c>
      <c r="AD41" s="6">
        <f>2002/15</f>
        <v>133.46666666666667</v>
      </c>
      <c r="AE41" s="10">
        <v>105</v>
      </c>
      <c r="AF41" s="10">
        <v>31</v>
      </c>
      <c r="AG41" s="3">
        <f t="shared" si="27"/>
        <v>136</v>
      </c>
      <c r="AH41" s="23">
        <f>1765/15</f>
        <v>117.66666666666667</v>
      </c>
      <c r="AI41" s="2">
        <v>139</v>
      </c>
      <c r="AJ41" s="2">
        <v>31</v>
      </c>
      <c r="AK41" s="3">
        <f t="shared" si="28"/>
        <v>170</v>
      </c>
      <c r="AL41" s="6">
        <f>2200/15</f>
        <v>146.66666666666666</v>
      </c>
      <c r="AM41" s="10">
        <v>105</v>
      </c>
      <c r="AN41" s="10">
        <v>36</v>
      </c>
      <c r="AO41" s="3">
        <f t="shared" si="29"/>
        <v>141</v>
      </c>
      <c r="AP41" s="23">
        <f>1762.5/15</f>
        <v>117.5</v>
      </c>
      <c r="AQ41" s="2">
        <v>145</v>
      </c>
      <c r="AR41" s="2">
        <v>28</v>
      </c>
      <c r="AS41" s="3">
        <f t="shared" si="30"/>
        <v>173</v>
      </c>
      <c r="AT41" s="6">
        <f>2315/15</f>
        <v>154.33333333333334</v>
      </c>
      <c r="AU41" s="10">
        <v>128</v>
      </c>
      <c r="AV41" s="10">
        <v>35</v>
      </c>
      <c r="AW41" s="3">
        <f t="shared" si="31"/>
        <v>163</v>
      </c>
      <c r="AX41" s="23">
        <f>2068/15</f>
        <v>137.86666666666667</v>
      </c>
      <c r="AY41" s="2">
        <v>108</v>
      </c>
      <c r="AZ41" s="2">
        <v>40</v>
      </c>
      <c r="BA41" s="3">
        <f t="shared" si="32"/>
        <v>148</v>
      </c>
      <c r="BB41" s="6">
        <f>(1791.5)/15</f>
        <v>119.43333333333334</v>
      </c>
      <c r="BC41" s="10">
        <v>109</v>
      </c>
      <c r="BD41" s="10">
        <v>38</v>
      </c>
      <c r="BE41" s="3">
        <f t="shared" si="33"/>
        <v>147</v>
      </c>
      <c r="BF41" s="23">
        <f>1855.5/15</f>
        <v>123.7</v>
      </c>
    </row>
    <row r="42" spans="1:147" x14ac:dyDescent="0.2">
      <c r="A42" s="36" t="s">
        <v>14</v>
      </c>
      <c r="B42" s="8" t="s">
        <v>39</v>
      </c>
      <c r="C42" s="2">
        <v>86</v>
      </c>
      <c r="D42" s="2">
        <v>17</v>
      </c>
      <c r="E42" s="3">
        <f t="shared" si="20"/>
        <v>103</v>
      </c>
      <c r="F42" s="6">
        <v>97.9</v>
      </c>
      <c r="G42" s="10"/>
      <c r="H42" s="10"/>
      <c r="I42" s="3">
        <f t="shared" si="21"/>
        <v>0</v>
      </c>
      <c r="J42" s="23"/>
      <c r="K42" s="2">
        <v>90</v>
      </c>
      <c r="L42" s="2">
        <v>13</v>
      </c>
      <c r="M42" s="3">
        <f t="shared" si="22"/>
        <v>103</v>
      </c>
      <c r="N42" s="6">
        <f>1456/15</f>
        <v>97.066666666666663</v>
      </c>
      <c r="O42" s="10">
        <v>76</v>
      </c>
      <c r="P42" s="10">
        <v>11</v>
      </c>
      <c r="Q42" s="3">
        <f t="shared" si="23"/>
        <v>87</v>
      </c>
      <c r="R42" s="23">
        <v>84.5</v>
      </c>
      <c r="S42" s="2">
        <v>78</v>
      </c>
      <c r="T42" s="2">
        <v>15</v>
      </c>
      <c r="U42" s="3">
        <f t="shared" si="24"/>
        <v>93</v>
      </c>
      <c r="V42" s="6">
        <f>1291.5/15</f>
        <v>86.1</v>
      </c>
      <c r="W42" s="10">
        <v>80</v>
      </c>
      <c r="X42" s="10">
        <v>14</v>
      </c>
      <c r="Y42" s="3">
        <f t="shared" si="25"/>
        <v>94</v>
      </c>
      <c r="Z42" s="23">
        <f>1303/15</f>
        <v>86.86666666666666</v>
      </c>
      <c r="AA42" s="2">
        <v>104</v>
      </c>
      <c r="AB42" s="2">
        <v>20</v>
      </c>
      <c r="AC42" s="3">
        <f t="shared" si="26"/>
        <v>124</v>
      </c>
      <c r="AD42" s="6">
        <f>1707/15</f>
        <v>113.8</v>
      </c>
      <c r="AE42" s="10">
        <v>86</v>
      </c>
      <c r="AF42" s="10">
        <v>19</v>
      </c>
      <c r="AG42" s="3">
        <f t="shared" si="27"/>
        <v>105</v>
      </c>
      <c r="AH42" s="23">
        <f>1399.5/15</f>
        <v>93.3</v>
      </c>
      <c r="AI42" s="2">
        <v>82</v>
      </c>
      <c r="AJ42" s="2">
        <v>9</v>
      </c>
      <c r="AK42" s="3">
        <f t="shared" si="28"/>
        <v>91</v>
      </c>
      <c r="AL42" s="6">
        <f>1312.5/15</f>
        <v>87.5</v>
      </c>
      <c r="AM42" s="10">
        <v>69</v>
      </c>
      <c r="AN42" s="10">
        <v>12</v>
      </c>
      <c r="AO42" s="3">
        <f t="shared" si="29"/>
        <v>81</v>
      </c>
      <c r="AP42" s="23">
        <f>1160/15</f>
        <v>77.333333333333329</v>
      </c>
      <c r="AQ42" s="2">
        <v>76</v>
      </c>
      <c r="AR42" s="2">
        <v>14</v>
      </c>
      <c r="AS42" s="3">
        <f t="shared" si="30"/>
        <v>90</v>
      </c>
      <c r="AT42" s="6">
        <f>1267.5/15</f>
        <v>84.5</v>
      </c>
      <c r="AU42" s="10">
        <v>74</v>
      </c>
      <c r="AV42" s="10">
        <v>13</v>
      </c>
      <c r="AW42" s="3">
        <f t="shared" si="31"/>
        <v>87</v>
      </c>
      <c r="AX42" s="23">
        <f>1224/15</f>
        <v>81.599999999999994</v>
      </c>
      <c r="AY42" s="2">
        <v>89</v>
      </c>
      <c r="AZ42" s="2">
        <v>21</v>
      </c>
      <c r="BA42" s="3">
        <f t="shared" si="32"/>
        <v>110</v>
      </c>
      <c r="BB42" s="6">
        <f>(1466)/15</f>
        <v>97.733333333333334</v>
      </c>
      <c r="BC42" s="10">
        <v>61</v>
      </c>
      <c r="BD42" s="10">
        <v>19</v>
      </c>
      <c r="BE42" s="3">
        <f t="shared" si="33"/>
        <v>80</v>
      </c>
      <c r="BF42" s="23">
        <f>1068.5/15</f>
        <v>71.233333333333334</v>
      </c>
    </row>
    <row r="43" spans="1:147" s="8" customFormat="1" x14ac:dyDescent="0.2">
      <c r="A43" s="36" t="s">
        <v>21</v>
      </c>
      <c r="B43" s="8" t="s">
        <v>237</v>
      </c>
      <c r="C43" s="2">
        <v>38</v>
      </c>
      <c r="D43" s="2">
        <v>13</v>
      </c>
      <c r="E43" s="3">
        <f t="shared" si="20"/>
        <v>51</v>
      </c>
      <c r="F43" s="6">
        <v>43.5</v>
      </c>
      <c r="G43" s="10"/>
      <c r="H43" s="10"/>
      <c r="I43" s="3">
        <f t="shared" si="21"/>
        <v>0</v>
      </c>
      <c r="J43" s="23"/>
      <c r="K43" s="2">
        <v>33</v>
      </c>
      <c r="L43" s="2">
        <v>3</v>
      </c>
      <c r="M43" s="3">
        <f t="shared" si="22"/>
        <v>36</v>
      </c>
      <c r="N43" s="6">
        <f>498/15</f>
        <v>33.200000000000003</v>
      </c>
      <c r="O43" s="10">
        <v>23</v>
      </c>
      <c r="P43" s="10">
        <v>10</v>
      </c>
      <c r="Q43" s="3">
        <f t="shared" si="23"/>
        <v>33</v>
      </c>
      <c r="R43" s="23">
        <v>27.7</v>
      </c>
      <c r="S43" s="2">
        <v>23</v>
      </c>
      <c r="T43" s="2">
        <v>10</v>
      </c>
      <c r="U43" s="3">
        <f t="shared" si="24"/>
        <v>33</v>
      </c>
      <c r="V43" s="6">
        <f>405.5/15</f>
        <v>27.033333333333335</v>
      </c>
      <c r="W43" s="10">
        <v>22</v>
      </c>
      <c r="X43" s="10">
        <v>5</v>
      </c>
      <c r="Y43" s="3">
        <f t="shared" si="25"/>
        <v>27</v>
      </c>
      <c r="Z43" s="23">
        <f>362.5/15</f>
        <v>24.166666666666668</v>
      </c>
      <c r="AA43" s="2">
        <v>36</v>
      </c>
      <c r="AB43" s="2">
        <v>5</v>
      </c>
      <c r="AC43" s="3">
        <f t="shared" si="26"/>
        <v>41</v>
      </c>
      <c r="AD43" s="6">
        <f>555/15</f>
        <v>37</v>
      </c>
      <c r="AE43" s="10">
        <v>17</v>
      </c>
      <c r="AF43" s="10">
        <v>5</v>
      </c>
      <c r="AG43" s="3">
        <f t="shared" si="27"/>
        <v>22</v>
      </c>
      <c r="AH43" s="23">
        <f>288.5/15</f>
        <v>19.233333333333334</v>
      </c>
      <c r="AI43" s="2">
        <v>22</v>
      </c>
      <c r="AJ43" s="2">
        <v>6</v>
      </c>
      <c r="AK43" s="3">
        <f t="shared" si="28"/>
        <v>28</v>
      </c>
      <c r="AL43" s="6">
        <f>360/15</f>
        <v>24</v>
      </c>
      <c r="AM43" s="10">
        <v>19</v>
      </c>
      <c r="AN43" s="10">
        <v>6</v>
      </c>
      <c r="AO43" s="3">
        <f t="shared" si="29"/>
        <v>25</v>
      </c>
      <c r="AP43" s="23">
        <f>320/15</f>
        <v>21.333333333333332</v>
      </c>
      <c r="AQ43" s="2">
        <v>33</v>
      </c>
      <c r="AR43" s="2">
        <v>9</v>
      </c>
      <c r="AS43" s="3">
        <f t="shared" si="30"/>
        <v>42</v>
      </c>
      <c r="AT43" s="6">
        <f>561.5/15</f>
        <v>37.43333333333333</v>
      </c>
      <c r="AU43" s="10">
        <v>26</v>
      </c>
      <c r="AV43" s="10">
        <v>9</v>
      </c>
      <c r="AW43" s="3">
        <f t="shared" si="31"/>
        <v>35</v>
      </c>
      <c r="AX43" s="23">
        <f>468.5/15</f>
        <v>31.233333333333334</v>
      </c>
      <c r="AY43" s="2">
        <v>31</v>
      </c>
      <c r="AZ43" s="2">
        <v>4</v>
      </c>
      <c r="BA43" s="3">
        <f t="shared" si="32"/>
        <v>35</v>
      </c>
      <c r="BB43" s="6">
        <f>(501)/15</f>
        <v>33.4</v>
      </c>
      <c r="BC43" s="10">
        <v>25</v>
      </c>
      <c r="BD43" s="10">
        <v>7</v>
      </c>
      <c r="BE43" s="3">
        <f t="shared" si="33"/>
        <v>32</v>
      </c>
      <c r="BF43" s="23">
        <f>435/15</f>
        <v>29</v>
      </c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</row>
    <row r="44" spans="1:147" x14ac:dyDescent="0.2">
      <c r="A44" s="36" t="s">
        <v>16</v>
      </c>
      <c r="B44" s="8" t="s">
        <v>41</v>
      </c>
      <c r="C44" s="2">
        <v>26</v>
      </c>
      <c r="D44" s="2">
        <v>14</v>
      </c>
      <c r="E44" s="3">
        <f t="shared" si="20"/>
        <v>40</v>
      </c>
      <c r="F44" s="6">
        <v>30.7</v>
      </c>
      <c r="G44" s="10"/>
      <c r="H44" s="10"/>
      <c r="I44" s="3">
        <f t="shared" si="21"/>
        <v>0</v>
      </c>
      <c r="J44" s="23"/>
      <c r="K44" s="2">
        <v>42</v>
      </c>
      <c r="L44" s="2">
        <v>11</v>
      </c>
      <c r="M44" s="3">
        <f t="shared" si="22"/>
        <v>53</v>
      </c>
      <c r="N44" s="6">
        <f>679.5/15</f>
        <v>45.3</v>
      </c>
      <c r="O44" s="10">
        <v>31</v>
      </c>
      <c r="P44" s="10">
        <v>11</v>
      </c>
      <c r="Q44" s="3">
        <f t="shared" si="23"/>
        <v>42</v>
      </c>
      <c r="R44" s="23">
        <v>35</v>
      </c>
      <c r="S44" s="2">
        <v>45</v>
      </c>
      <c r="T44" s="2">
        <v>18</v>
      </c>
      <c r="U44" s="3">
        <f t="shared" si="24"/>
        <v>63</v>
      </c>
      <c r="V44" s="6">
        <f>742/15</f>
        <v>49.466666666666669</v>
      </c>
      <c r="W44" s="10">
        <v>27</v>
      </c>
      <c r="X44" s="10">
        <v>19</v>
      </c>
      <c r="Y44" s="3">
        <f t="shared" si="25"/>
        <v>46</v>
      </c>
      <c r="Z44" s="23">
        <f>495.5/15</f>
        <v>33.033333333333331</v>
      </c>
      <c r="AA44" s="2">
        <v>53</v>
      </c>
      <c r="AB44" s="2">
        <v>22</v>
      </c>
      <c r="AC44" s="3">
        <f t="shared" si="26"/>
        <v>75</v>
      </c>
      <c r="AD44" s="6">
        <f>882.5/15</f>
        <v>58.833333333333336</v>
      </c>
      <c r="AE44" s="10">
        <v>41</v>
      </c>
      <c r="AF44" s="10">
        <v>25</v>
      </c>
      <c r="AG44" s="3">
        <f t="shared" si="27"/>
        <v>66</v>
      </c>
      <c r="AH44" s="23">
        <f>746/15</f>
        <v>49.733333333333334</v>
      </c>
      <c r="AI44" s="2">
        <v>76</v>
      </c>
      <c r="AJ44" s="2">
        <v>26</v>
      </c>
      <c r="AK44" s="3">
        <f t="shared" si="28"/>
        <v>102</v>
      </c>
      <c r="AL44" s="6">
        <f>1259/15</f>
        <v>83.933333333333337</v>
      </c>
      <c r="AM44" s="10">
        <v>58</v>
      </c>
      <c r="AN44" s="10">
        <v>24</v>
      </c>
      <c r="AO44" s="3">
        <f t="shared" si="29"/>
        <v>82</v>
      </c>
      <c r="AP44" s="23">
        <f>997.5/15</f>
        <v>66.5</v>
      </c>
      <c r="AQ44" s="2">
        <v>78</v>
      </c>
      <c r="AR44" s="2">
        <v>25</v>
      </c>
      <c r="AS44" s="3">
        <f t="shared" si="30"/>
        <v>103</v>
      </c>
      <c r="AT44" s="6">
        <f>1298.5/15</f>
        <v>86.566666666666663</v>
      </c>
      <c r="AU44" s="10">
        <v>79</v>
      </c>
      <c r="AV44" s="10">
        <v>29</v>
      </c>
      <c r="AW44" s="3">
        <f t="shared" si="31"/>
        <v>108</v>
      </c>
      <c r="AX44" s="23">
        <f>1350.5/15</f>
        <v>90.033333333333331</v>
      </c>
      <c r="AY44" s="2">
        <v>77</v>
      </c>
      <c r="AZ44" s="2">
        <v>28</v>
      </c>
      <c r="BA44" s="3">
        <f t="shared" si="32"/>
        <v>105</v>
      </c>
      <c r="BB44" s="6">
        <f>(1332.5)/15</f>
        <v>88.833333333333329</v>
      </c>
      <c r="BC44" s="10">
        <v>75</v>
      </c>
      <c r="BD44" s="10">
        <v>25</v>
      </c>
      <c r="BE44" s="3">
        <f t="shared" si="33"/>
        <v>100</v>
      </c>
      <c r="BF44" s="23">
        <f>1286.5/15</f>
        <v>85.766666666666666</v>
      </c>
    </row>
    <row r="45" spans="1:147" x14ac:dyDescent="0.2">
      <c r="A45" s="36" t="s">
        <v>17</v>
      </c>
      <c r="B45" s="8" t="s">
        <v>42</v>
      </c>
      <c r="C45" s="2">
        <v>30</v>
      </c>
      <c r="D45" s="2">
        <v>6</v>
      </c>
      <c r="E45" s="3">
        <f t="shared" si="20"/>
        <v>36</v>
      </c>
      <c r="F45" s="6">
        <v>33.1</v>
      </c>
      <c r="G45" s="10"/>
      <c r="H45" s="10"/>
      <c r="I45" s="3">
        <f t="shared" si="21"/>
        <v>0</v>
      </c>
      <c r="J45" s="23"/>
      <c r="K45" s="2">
        <v>26</v>
      </c>
      <c r="L45" s="2">
        <v>7</v>
      </c>
      <c r="M45" s="3">
        <f t="shared" si="22"/>
        <v>33</v>
      </c>
      <c r="N45" s="6">
        <f>469.5/15</f>
        <v>31.3</v>
      </c>
      <c r="O45" s="10">
        <v>27</v>
      </c>
      <c r="P45" s="10">
        <v>5</v>
      </c>
      <c r="Q45" s="3">
        <f t="shared" si="23"/>
        <v>32</v>
      </c>
      <c r="R45" s="23">
        <v>29.1</v>
      </c>
      <c r="S45" s="2">
        <v>28</v>
      </c>
      <c r="T45" s="2">
        <v>7</v>
      </c>
      <c r="U45" s="3">
        <f t="shared" si="24"/>
        <v>35</v>
      </c>
      <c r="V45" s="6">
        <f>460/15</f>
        <v>30.666666666666668</v>
      </c>
      <c r="W45" s="10">
        <v>23</v>
      </c>
      <c r="X45" s="10">
        <v>7</v>
      </c>
      <c r="Y45" s="3">
        <f t="shared" si="25"/>
        <v>30</v>
      </c>
      <c r="Z45" s="23">
        <f>414/15</f>
        <v>27.6</v>
      </c>
      <c r="AA45" s="2">
        <v>30</v>
      </c>
      <c r="AB45" s="2">
        <v>5</v>
      </c>
      <c r="AC45" s="3">
        <f t="shared" si="26"/>
        <v>35</v>
      </c>
      <c r="AD45" s="6">
        <f>496.5/15</f>
        <v>33.1</v>
      </c>
      <c r="AE45" s="10">
        <v>29</v>
      </c>
      <c r="AF45" s="10">
        <v>6</v>
      </c>
      <c r="AG45" s="3">
        <f t="shared" si="27"/>
        <v>35</v>
      </c>
      <c r="AH45" s="23">
        <f>486/15</f>
        <v>32.4</v>
      </c>
      <c r="AI45" s="2">
        <v>33</v>
      </c>
      <c r="AJ45" s="2">
        <v>6</v>
      </c>
      <c r="AK45" s="3">
        <f t="shared" si="28"/>
        <v>39</v>
      </c>
      <c r="AL45" s="6">
        <f>544.5/15</f>
        <v>36.299999999999997</v>
      </c>
      <c r="AM45" s="10">
        <v>32</v>
      </c>
      <c r="AN45" s="10">
        <v>7</v>
      </c>
      <c r="AO45" s="3">
        <f t="shared" si="29"/>
        <v>39</v>
      </c>
      <c r="AP45" s="23">
        <f>549.5/15</f>
        <v>36.633333333333333</v>
      </c>
      <c r="AQ45" s="2">
        <v>26</v>
      </c>
      <c r="AR45" s="2">
        <v>7</v>
      </c>
      <c r="AS45" s="3">
        <f t="shared" si="30"/>
        <v>33</v>
      </c>
      <c r="AT45" s="6">
        <f>438.5/15</f>
        <v>29.233333333333334</v>
      </c>
      <c r="AU45" s="10">
        <v>29</v>
      </c>
      <c r="AV45" s="10">
        <v>9</v>
      </c>
      <c r="AW45" s="3">
        <f t="shared" si="31"/>
        <v>38</v>
      </c>
      <c r="AX45" s="23">
        <f>493.5/15</f>
        <v>32.9</v>
      </c>
      <c r="AY45" s="2">
        <v>23</v>
      </c>
      <c r="AZ45" s="2">
        <v>1</v>
      </c>
      <c r="BA45" s="3">
        <f t="shared" si="32"/>
        <v>24</v>
      </c>
      <c r="BB45" s="6">
        <f>363.5/15</f>
        <v>24.233333333333334</v>
      </c>
      <c r="BC45" s="10">
        <v>27</v>
      </c>
      <c r="BD45" s="10">
        <v>0</v>
      </c>
      <c r="BE45" s="3">
        <f t="shared" si="33"/>
        <v>27</v>
      </c>
      <c r="BF45" s="23">
        <f>432/15</f>
        <v>28.8</v>
      </c>
    </row>
    <row r="46" spans="1:147" x14ac:dyDescent="0.2">
      <c r="A46" s="36" t="s">
        <v>211</v>
      </c>
      <c r="B46" s="9" t="s">
        <v>212</v>
      </c>
      <c r="C46" s="2">
        <v>132</v>
      </c>
      <c r="D46" s="2">
        <v>25</v>
      </c>
      <c r="E46" s="3">
        <f t="shared" si="20"/>
        <v>157</v>
      </c>
      <c r="F46" s="6">
        <v>146.4</v>
      </c>
      <c r="G46" s="10"/>
      <c r="H46" s="10"/>
      <c r="I46" s="3">
        <f t="shared" si="21"/>
        <v>0</v>
      </c>
      <c r="J46" s="23"/>
      <c r="K46" s="2">
        <v>115</v>
      </c>
      <c r="L46" s="2">
        <v>16</v>
      </c>
      <c r="M46" s="3">
        <f t="shared" si="22"/>
        <v>131</v>
      </c>
      <c r="N46" s="6">
        <f>1800/15</f>
        <v>120</v>
      </c>
      <c r="O46" s="10">
        <v>99</v>
      </c>
      <c r="P46" s="10">
        <v>23</v>
      </c>
      <c r="Q46" s="3">
        <f t="shared" si="23"/>
        <v>122</v>
      </c>
      <c r="R46" s="23">
        <v>111.1</v>
      </c>
      <c r="S46" s="2">
        <v>109</v>
      </c>
      <c r="T46" s="2">
        <v>15</v>
      </c>
      <c r="U46" s="3">
        <f t="shared" si="24"/>
        <v>124</v>
      </c>
      <c r="V46" s="6">
        <f>1752/15</f>
        <v>116.8</v>
      </c>
      <c r="W46" s="10">
        <v>95</v>
      </c>
      <c r="X46" s="10">
        <v>11</v>
      </c>
      <c r="Y46" s="3">
        <f t="shared" si="25"/>
        <v>106</v>
      </c>
      <c r="Z46" s="23">
        <f>1501.5/15</f>
        <v>100.1</v>
      </c>
      <c r="AA46" s="2">
        <v>87</v>
      </c>
      <c r="AB46" s="2">
        <v>9</v>
      </c>
      <c r="AC46" s="3">
        <f t="shared" si="26"/>
        <v>96</v>
      </c>
      <c r="AD46" s="6">
        <f>1429/15</f>
        <v>95.266666666666666</v>
      </c>
      <c r="AE46" s="10">
        <v>72</v>
      </c>
      <c r="AF46" s="10">
        <v>14</v>
      </c>
      <c r="AG46" s="3">
        <f t="shared" si="27"/>
        <v>86</v>
      </c>
      <c r="AH46" s="23">
        <f>1142/15</f>
        <v>76.13333333333334</v>
      </c>
      <c r="AI46" s="2">
        <v>67</v>
      </c>
      <c r="AJ46" s="2">
        <v>8</v>
      </c>
      <c r="AK46" s="3">
        <f t="shared" si="28"/>
        <v>75</v>
      </c>
      <c r="AL46" s="6">
        <f>1102.5/15</f>
        <v>73.5</v>
      </c>
      <c r="AM46" s="10">
        <v>68</v>
      </c>
      <c r="AN46" s="10">
        <v>8</v>
      </c>
      <c r="AO46" s="3">
        <f t="shared" si="29"/>
        <v>76</v>
      </c>
      <c r="AP46" s="23">
        <f>1066/15</f>
        <v>71.066666666666663</v>
      </c>
      <c r="AQ46" s="2">
        <v>8</v>
      </c>
      <c r="AR46" s="2">
        <v>3</v>
      </c>
      <c r="AS46" s="3">
        <f t="shared" si="30"/>
        <v>11</v>
      </c>
      <c r="AT46" s="6">
        <f>140.5/15</f>
        <v>9.3666666666666671</v>
      </c>
      <c r="AU46" s="10">
        <v>25</v>
      </c>
      <c r="AV46" s="10">
        <v>3</v>
      </c>
      <c r="AW46" s="3">
        <f t="shared" si="31"/>
        <v>28</v>
      </c>
      <c r="AX46" s="23">
        <f>375.5/15</f>
        <v>25.033333333333335</v>
      </c>
      <c r="AY46" s="32"/>
      <c r="AZ46" s="32"/>
      <c r="BA46" s="34"/>
      <c r="BB46" s="31"/>
      <c r="BC46" s="29"/>
      <c r="BD46" s="29"/>
      <c r="BE46" s="34"/>
      <c r="BF46" s="33"/>
    </row>
    <row r="47" spans="1:147" x14ac:dyDescent="0.2">
      <c r="A47" s="37" t="s">
        <v>20</v>
      </c>
      <c r="B47" s="9" t="s">
        <v>45</v>
      </c>
      <c r="C47" s="10">
        <v>3</v>
      </c>
      <c r="D47" s="10">
        <v>0</v>
      </c>
      <c r="E47" s="7">
        <f t="shared" si="20"/>
        <v>3</v>
      </c>
      <c r="F47" s="6">
        <v>2.4</v>
      </c>
      <c r="G47" s="5"/>
      <c r="H47" s="10"/>
      <c r="I47" s="7">
        <f t="shared" si="21"/>
        <v>0</v>
      </c>
      <c r="J47" s="23"/>
      <c r="K47" s="10">
        <v>7</v>
      </c>
      <c r="L47" s="10">
        <v>2</v>
      </c>
      <c r="M47" s="7">
        <f t="shared" si="22"/>
        <v>9</v>
      </c>
      <c r="N47" s="6">
        <f>114.5/15</f>
        <v>7.6333333333333337</v>
      </c>
      <c r="O47" s="5">
        <v>5</v>
      </c>
      <c r="P47" s="10">
        <v>2</v>
      </c>
      <c r="Q47" s="7">
        <f t="shared" si="23"/>
        <v>7</v>
      </c>
      <c r="R47" s="23">
        <v>5.5</v>
      </c>
      <c r="S47" s="10">
        <v>9</v>
      </c>
      <c r="T47" s="10">
        <v>1</v>
      </c>
      <c r="U47" s="7">
        <f t="shared" si="24"/>
        <v>10</v>
      </c>
      <c r="V47" s="6">
        <f>133.5/15</f>
        <v>8.9</v>
      </c>
      <c r="W47" s="5">
        <v>6</v>
      </c>
      <c r="X47" s="10">
        <v>3</v>
      </c>
      <c r="Y47" s="7">
        <f t="shared" si="25"/>
        <v>9</v>
      </c>
      <c r="Z47" s="23">
        <f>118.5/15</f>
        <v>7.9</v>
      </c>
      <c r="AA47" s="10">
        <v>4</v>
      </c>
      <c r="AB47" s="10">
        <v>4</v>
      </c>
      <c r="AC47" s="7">
        <f t="shared" si="26"/>
        <v>8</v>
      </c>
      <c r="AD47" s="6">
        <f>76/15</f>
        <v>5.0666666666666664</v>
      </c>
      <c r="AE47" s="5">
        <v>5</v>
      </c>
      <c r="AF47" s="10">
        <v>5</v>
      </c>
      <c r="AG47" s="7">
        <f t="shared" si="27"/>
        <v>10</v>
      </c>
      <c r="AH47" s="23">
        <f>91/15</f>
        <v>6.0666666666666664</v>
      </c>
      <c r="AI47" s="10">
        <v>9</v>
      </c>
      <c r="AJ47" s="10">
        <v>3</v>
      </c>
      <c r="AK47" s="7">
        <f t="shared" si="28"/>
        <v>12</v>
      </c>
      <c r="AL47" s="6">
        <f>142.5/15</f>
        <v>9.5</v>
      </c>
      <c r="AM47" s="5">
        <v>3</v>
      </c>
      <c r="AN47" s="10">
        <v>2</v>
      </c>
      <c r="AO47" s="7">
        <f t="shared" si="29"/>
        <v>5</v>
      </c>
      <c r="AP47" s="23">
        <f>47/15</f>
        <v>3.1333333333333333</v>
      </c>
      <c r="AQ47" s="10">
        <v>7</v>
      </c>
      <c r="AR47" s="10">
        <v>8</v>
      </c>
      <c r="AS47" s="7">
        <f t="shared" si="30"/>
        <v>15</v>
      </c>
      <c r="AT47" s="6">
        <f>139/15</f>
        <v>9.2666666666666675</v>
      </c>
      <c r="AU47" s="5">
        <v>6</v>
      </c>
      <c r="AV47" s="10">
        <v>4</v>
      </c>
      <c r="AW47" s="7">
        <f t="shared" si="31"/>
        <v>10</v>
      </c>
      <c r="AX47" s="23">
        <f>100.5/15</f>
        <v>6.7</v>
      </c>
      <c r="AY47" s="10">
        <v>9</v>
      </c>
      <c r="AZ47" s="10">
        <v>3</v>
      </c>
      <c r="BA47" s="7">
        <f>SUM(AY47:AZ47)</f>
        <v>12</v>
      </c>
      <c r="BB47" s="6">
        <f>(130.5)/15</f>
        <v>8.6999999999999993</v>
      </c>
      <c r="BC47" s="5">
        <v>9</v>
      </c>
      <c r="BD47" s="10">
        <v>7</v>
      </c>
      <c r="BE47" s="7">
        <f>SUM(BC47:BD47)</f>
        <v>16</v>
      </c>
      <c r="BF47" s="23">
        <f>160.5/15</f>
        <v>10.7</v>
      </c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</row>
    <row r="48" spans="1:147" x14ac:dyDescent="0.2">
      <c r="A48" s="36" t="s">
        <v>223</v>
      </c>
      <c r="B48" s="9" t="s">
        <v>224</v>
      </c>
      <c r="C48" s="2">
        <v>1</v>
      </c>
      <c r="D48" s="2">
        <v>1</v>
      </c>
      <c r="E48" s="3">
        <f t="shared" si="20"/>
        <v>2</v>
      </c>
      <c r="F48" s="6">
        <v>1.6</v>
      </c>
      <c r="G48" s="10"/>
      <c r="H48" s="10"/>
      <c r="I48" s="3">
        <f t="shared" si="21"/>
        <v>0</v>
      </c>
      <c r="J48" s="23"/>
      <c r="K48" s="2">
        <v>0</v>
      </c>
      <c r="L48" s="2">
        <v>1</v>
      </c>
      <c r="M48" s="3">
        <f t="shared" si="22"/>
        <v>1</v>
      </c>
      <c r="N48" s="6">
        <f>7/15</f>
        <v>0.46666666666666667</v>
      </c>
      <c r="O48" s="10">
        <v>1</v>
      </c>
      <c r="P48" s="10">
        <v>2</v>
      </c>
      <c r="Q48" s="3">
        <f t="shared" si="23"/>
        <v>3</v>
      </c>
      <c r="R48" s="23">
        <v>1.6</v>
      </c>
      <c r="S48" s="2">
        <v>3</v>
      </c>
      <c r="T48" s="2">
        <v>0</v>
      </c>
      <c r="U48" s="3">
        <f t="shared" si="24"/>
        <v>3</v>
      </c>
      <c r="V48" s="6">
        <f>42/15</f>
        <v>2.8</v>
      </c>
      <c r="W48" s="10">
        <v>5</v>
      </c>
      <c r="X48" s="10">
        <v>0</v>
      </c>
      <c r="Y48" s="3">
        <f t="shared" si="25"/>
        <v>5</v>
      </c>
      <c r="Z48" s="23">
        <f>76/15</f>
        <v>5.0666666666666664</v>
      </c>
      <c r="AA48" s="2">
        <v>3</v>
      </c>
      <c r="AB48" s="2">
        <v>0</v>
      </c>
      <c r="AC48" s="3">
        <f t="shared" si="26"/>
        <v>3</v>
      </c>
      <c r="AD48" s="6">
        <f>43.5/15</f>
        <v>2.9</v>
      </c>
      <c r="AE48" s="10">
        <v>1</v>
      </c>
      <c r="AF48" s="10">
        <v>1</v>
      </c>
      <c r="AG48" s="3">
        <f t="shared" si="27"/>
        <v>2</v>
      </c>
      <c r="AH48" s="23">
        <f>22/15</f>
        <v>1.4666666666666666</v>
      </c>
      <c r="AI48" s="32"/>
      <c r="AJ48" s="32"/>
      <c r="AK48" s="34"/>
      <c r="AL48" s="31"/>
      <c r="AM48" s="29"/>
      <c r="AN48" s="29"/>
      <c r="AO48" s="34"/>
      <c r="AP48" s="33"/>
      <c r="AQ48" s="32"/>
      <c r="AR48" s="32"/>
      <c r="AS48" s="34"/>
      <c r="AT48" s="31"/>
      <c r="AU48" s="29"/>
      <c r="AV48" s="29"/>
      <c r="AW48" s="34"/>
      <c r="AX48" s="33"/>
      <c r="AY48" s="32"/>
      <c r="AZ48" s="32"/>
      <c r="BA48" s="34"/>
      <c r="BB48" s="31"/>
      <c r="BC48" s="29"/>
      <c r="BD48" s="29"/>
      <c r="BE48" s="34"/>
      <c r="BF48" s="33"/>
    </row>
    <row r="49" spans="1:147" x14ac:dyDescent="0.2">
      <c r="A49" s="36" t="s">
        <v>22</v>
      </c>
      <c r="B49" s="8" t="s">
        <v>46</v>
      </c>
      <c r="C49" s="2">
        <v>1</v>
      </c>
      <c r="D49" s="2">
        <v>2</v>
      </c>
      <c r="E49" s="3">
        <f t="shared" si="20"/>
        <v>3</v>
      </c>
      <c r="F49" s="6">
        <v>1.6</v>
      </c>
      <c r="G49" s="10"/>
      <c r="H49" s="10"/>
      <c r="I49" s="3">
        <f t="shared" si="21"/>
        <v>0</v>
      </c>
      <c r="J49" s="23"/>
      <c r="K49" s="2">
        <v>0</v>
      </c>
      <c r="L49" s="2">
        <v>0</v>
      </c>
      <c r="M49" s="3">
        <f t="shared" si="22"/>
        <v>0</v>
      </c>
      <c r="N49" s="6">
        <v>0</v>
      </c>
      <c r="O49" s="10">
        <v>1</v>
      </c>
      <c r="P49" s="10">
        <v>0</v>
      </c>
      <c r="Q49" s="3">
        <f t="shared" si="23"/>
        <v>1</v>
      </c>
      <c r="R49" s="23">
        <v>0.9</v>
      </c>
      <c r="S49" s="2">
        <v>1</v>
      </c>
      <c r="T49" s="2">
        <v>2</v>
      </c>
      <c r="U49" s="3">
        <f t="shared" si="24"/>
        <v>3</v>
      </c>
      <c r="V49" s="6">
        <f>28/15</f>
        <v>1.8666666666666667</v>
      </c>
      <c r="W49" s="10">
        <v>1</v>
      </c>
      <c r="X49" s="10">
        <v>1</v>
      </c>
      <c r="Y49" s="3">
        <f t="shared" si="25"/>
        <v>2</v>
      </c>
      <c r="Z49" s="23">
        <f>24/15</f>
        <v>1.6</v>
      </c>
      <c r="AA49" s="2">
        <v>1</v>
      </c>
      <c r="AB49" s="2">
        <v>2</v>
      </c>
      <c r="AC49" s="3">
        <f t="shared" si="26"/>
        <v>3</v>
      </c>
      <c r="AD49" s="6">
        <f>24/15</f>
        <v>1.6</v>
      </c>
      <c r="AE49" s="10">
        <v>1</v>
      </c>
      <c r="AF49" s="10">
        <v>1</v>
      </c>
      <c r="AG49" s="3">
        <f t="shared" si="27"/>
        <v>2</v>
      </c>
      <c r="AH49" s="23">
        <f>15/15</f>
        <v>1</v>
      </c>
      <c r="AI49" s="2">
        <v>1</v>
      </c>
      <c r="AJ49" s="2">
        <v>0</v>
      </c>
      <c r="AK49" s="3">
        <f t="shared" ref="AK49:AK56" si="34">SUM(AI49:AJ49)</f>
        <v>1</v>
      </c>
      <c r="AL49" s="6">
        <f>12/15</f>
        <v>0.8</v>
      </c>
      <c r="AM49" s="10">
        <v>0</v>
      </c>
      <c r="AN49" s="10">
        <v>0</v>
      </c>
      <c r="AO49" s="3">
        <f t="shared" ref="AO49:AO56" si="35">SUM(AM49:AN49)</f>
        <v>0</v>
      </c>
      <c r="AP49" s="23">
        <v>0</v>
      </c>
      <c r="AQ49" s="2">
        <v>0</v>
      </c>
      <c r="AR49" s="2">
        <v>1</v>
      </c>
      <c r="AS49" s="3">
        <f t="shared" ref="AS49:AS56" si="36">SUM(AQ49:AR49)</f>
        <v>1</v>
      </c>
      <c r="AT49" s="6">
        <f>6/15</f>
        <v>0.4</v>
      </c>
      <c r="AU49" s="10">
        <v>2</v>
      </c>
      <c r="AV49" s="10">
        <v>2</v>
      </c>
      <c r="AW49" s="3">
        <f t="shared" ref="AW49:AW56" si="37">SUM(AU49:AV49)</f>
        <v>4</v>
      </c>
      <c r="AX49" s="23">
        <f>37/15</f>
        <v>2.4666666666666668</v>
      </c>
      <c r="AY49" s="2">
        <v>1</v>
      </c>
      <c r="AZ49" s="2">
        <v>2</v>
      </c>
      <c r="BA49" s="3">
        <f t="shared" ref="BA49:BA56" si="38">SUM(AY49:AZ49)</f>
        <v>3</v>
      </c>
      <c r="BB49" s="6">
        <f>(26)/15</f>
        <v>1.7333333333333334</v>
      </c>
      <c r="BC49" s="10">
        <v>1</v>
      </c>
      <c r="BD49" s="10">
        <v>2</v>
      </c>
      <c r="BE49" s="3">
        <f t="shared" ref="BE49:BE56" si="39">SUM(BC49:BD49)</f>
        <v>3</v>
      </c>
      <c r="BF49" s="23">
        <f>23/15</f>
        <v>1.5333333333333334</v>
      </c>
    </row>
    <row r="50" spans="1:147" x14ac:dyDescent="0.2">
      <c r="A50" s="36" t="s">
        <v>23</v>
      </c>
      <c r="B50" s="8" t="s">
        <v>47</v>
      </c>
      <c r="C50" s="2">
        <v>8</v>
      </c>
      <c r="D50" s="2">
        <v>4</v>
      </c>
      <c r="E50" s="3">
        <f t="shared" si="20"/>
        <v>12</v>
      </c>
      <c r="F50" s="6">
        <v>9.1</v>
      </c>
      <c r="G50" s="10"/>
      <c r="H50" s="10"/>
      <c r="I50" s="3">
        <f t="shared" si="21"/>
        <v>0</v>
      </c>
      <c r="J50" s="23"/>
      <c r="K50" s="2">
        <v>6</v>
      </c>
      <c r="L50" s="2">
        <v>6</v>
      </c>
      <c r="M50" s="3">
        <f t="shared" si="22"/>
        <v>12</v>
      </c>
      <c r="N50" s="6">
        <f>118/15</f>
        <v>7.8666666666666663</v>
      </c>
      <c r="O50" s="10">
        <v>3</v>
      </c>
      <c r="P50" s="10">
        <v>4</v>
      </c>
      <c r="Q50" s="3">
        <f t="shared" si="23"/>
        <v>7</v>
      </c>
      <c r="R50" s="23">
        <v>5.0999999999999996</v>
      </c>
      <c r="S50" s="2">
        <v>7</v>
      </c>
      <c r="T50" s="2">
        <v>6</v>
      </c>
      <c r="U50" s="3">
        <f t="shared" si="24"/>
        <v>13</v>
      </c>
      <c r="V50" s="6">
        <f>132/15</f>
        <v>8.8000000000000007</v>
      </c>
      <c r="W50" s="10">
        <v>5</v>
      </c>
      <c r="X50" s="10">
        <v>6</v>
      </c>
      <c r="Y50" s="3">
        <f t="shared" si="25"/>
        <v>11</v>
      </c>
      <c r="Z50" s="23">
        <f>109/15</f>
        <v>7.2666666666666666</v>
      </c>
      <c r="AA50" s="2">
        <v>9</v>
      </c>
      <c r="AB50" s="2">
        <v>6</v>
      </c>
      <c r="AC50" s="3">
        <f t="shared" si="26"/>
        <v>15</v>
      </c>
      <c r="AD50" s="6">
        <f>174/15</f>
        <v>11.6</v>
      </c>
      <c r="AE50" s="10">
        <v>6</v>
      </c>
      <c r="AF50" s="10">
        <v>6</v>
      </c>
      <c r="AG50" s="3">
        <f t="shared" si="27"/>
        <v>12</v>
      </c>
      <c r="AH50" s="23">
        <f>136/15</f>
        <v>9.0666666666666664</v>
      </c>
      <c r="AI50" s="2">
        <v>16</v>
      </c>
      <c r="AJ50" s="2">
        <v>9</v>
      </c>
      <c r="AK50" s="3">
        <f t="shared" si="34"/>
        <v>25</v>
      </c>
      <c r="AL50" s="6">
        <f>283.5/15</f>
        <v>18.899999999999999</v>
      </c>
      <c r="AM50" s="10">
        <v>13</v>
      </c>
      <c r="AN50" s="10">
        <v>12</v>
      </c>
      <c r="AO50" s="3">
        <f t="shared" si="35"/>
        <v>25</v>
      </c>
      <c r="AP50" s="23">
        <f>265/15</f>
        <v>17.666666666666668</v>
      </c>
      <c r="AQ50" s="2">
        <v>21</v>
      </c>
      <c r="AR50" s="2">
        <v>8</v>
      </c>
      <c r="AS50" s="3">
        <f t="shared" si="36"/>
        <v>29</v>
      </c>
      <c r="AT50" s="6">
        <f>355.5/15</f>
        <v>23.7</v>
      </c>
      <c r="AU50" s="10">
        <v>18</v>
      </c>
      <c r="AV50" s="10">
        <v>11</v>
      </c>
      <c r="AW50" s="3">
        <f t="shared" si="37"/>
        <v>29</v>
      </c>
      <c r="AX50" s="23">
        <f>327.5/15</f>
        <v>21.833333333333332</v>
      </c>
      <c r="AY50" s="2">
        <v>18</v>
      </c>
      <c r="AZ50" s="2">
        <v>8</v>
      </c>
      <c r="BA50" s="3">
        <f t="shared" si="38"/>
        <v>26</v>
      </c>
      <c r="BB50" s="6">
        <f>(313.5)/15</f>
        <v>20.9</v>
      </c>
      <c r="BC50" s="10">
        <v>19</v>
      </c>
      <c r="BD50" s="10">
        <v>5</v>
      </c>
      <c r="BE50" s="3">
        <f t="shared" si="39"/>
        <v>24</v>
      </c>
      <c r="BF50" s="23">
        <f>295.5/15</f>
        <v>19.7</v>
      </c>
    </row>
    <row r="51" spans="1:147" x14ac:dyDescent="0.2">
      <c r="A51" s="36" t="s">
        <v>28</v>
      </c>
      <c r="B51" s="8" t="s">
        <v>50</v>
      </c>
      <c r="C51" s="2">
        <v>0</v>
      </c>
      <c r="D51" s="2">
        <v>0</v>
      </c>
      <c r="E51" s="3">
        <f t="shared" si="20"/>
        <v>0</v>
      </c>
      <c r="F51" s="6">
        <v>0</v>
      </c>
      <c r="G51" s="10"/>
      <c r="H51" s="10"/>
      <c r="I51" s="3">
        <f t="shared" si="21"/>
        <v>0</v>
      </c>
      <c r="J51" s="23"/>
      <c r="K51" s="2">
        <v>0</v>
      </c>
      <c r="L51" s="2">
        <v>0</v>
      </c>
      <c r="M51" s="3">
        <f t="shared" si="22"/>
        <v>0</v>
      </c>
      <c r="N51" s="6">
        <v>0</v>
      </c>
      <c r="O51" s="10">
        <v>0</v>
      </c>
      <c r="P51" s="10">
        <v>0</v>
      </c>
      <c r="Q51" s="3">
        <f t="shared" si="23"/>
        <v>0</v>
      </c>
      <c r="R51" s="23">
        <v>0</v>
      </c>
      <c r="S51" s="2">
        <v>1</v>
      </c>
      <c r="T51" s="2">
        <v>0</v>
      </c>
      <c r="U51" s="3">
        <f t="shared" si="24"/>
        <v>1</v>
      </c>
      <c r="V51" s="6">
        <f>16/15</f>
        <v>1.0666666666666667</v>
      </c>
      <c r="W51" s="10">
        <v>1</v>
      </c>
      <c r="X51" s="10">
        <v>0</v>
      </c>
      <c r="Y51" s="3">
        <f t="shared" si="25"/>
        <v>1</v>
      </c>
      <c r="Z51" s="23">
        <f>13/15</f>
        <v>0.8666666666666667</v>
      </c>
      <c r="AA51" s="2">
        <v>3</v>
      </c>
      <c r="AB51" s="2">
        <v>0</v>
      </c>
      <c r="AC51" s="3">
        <f t="shared" si="26"/>
        <v>3</v>
      </c>
      <c r="AD51" s="6">
        <f>37/15</f>
        <v>2.4666666666666668</v>
      </c>
      <c r="AE51" s="10">
        <v>4</v>
      </c>
      <c r="AF51" s="10">
        <v>0</v>
      </c>
      <c r="AG51" s="3">
        <f t="shared" si="27"/>
        <v>4</v>
      </c>
      <c r="AH51" s="23">
        <f>51/15</f>
        <v>3.4</v>
      </c>
      <c r="AI51" s="2">
        <v>3</v>
      </c>
      <c r="AJ51" s="2">
        <v>0</v>
      </c>
      <c r="AK51" s="3">
        <f t="shared" si="34"/>
        <v>3</v>
      </c>
      <c r="AL51" s="6">
        <f>42/15</f>
        <v>2.8</v>
      </c>
      <c r="AM51" s="10">
        <v>3</v>
      </c>
      <c r="AN51" s="10">
        <v>1</v>
      </c>
      <c r="AO51" s="3">
        <f t="shared" si="35"/>
        <v>4</v>
      </c>
      <c r="AP51" s="23">
        <f>40/15</f>
        <v>2.6666666666666665</v>
      </c>
      <c r="AQ51" s="2">
        <v>1</v>
      </c>
      <c r="AR51" s="2">
        <v>3</v>
      </c>
      <c r="AS51" s="3">
        <f t="shared" si="36"/>
        <v>4</v>
      </c>
      <c r="AT51" s="6">
        <f>30/15</f>
        <v>2</v>
      </c>
      <c r="AU51" s="10">
        <v>2</v>
      </c>
      <c r="AV51" s="10">
        <v>1</v>
      </c>
      <c r="AW51" s="3">
        <f t="shared" si="37"/>
        <v>3</v>
      </c>
      <c r="AX51" s="23">
        <f>35/15</f>
        <v>2.3333333333333335</v>
      </c>
      <c r="AY51" s="2">
        <v>0</v>
      </c>
      <c r="AZ51" s="2">
        <v>1</v>
      </c>
      <c r="BA51" s="3">
        <f t="shared" si="38"/>
        <v>1</v>
      </c>
      <c r="BB51" s="6">
        <f>4/15</f>
        <v>0.26666666666666666</v>
      </c>
      <c r="BC51" s="10">
        <v>1</v>
      </c>
      <c r="BD51" s="10">
        <v>1</v>
      </c>
      <c r="BE51" s="3">
        <f t="shared" si="39"/>
        <v>2</v>
      </c>
      <c r="BF51" s="23">
        <f>19/15</f>
        <v>1.2666666666666666</v>
      </c>
    </row>
    <row r="52" spans="1:147" x14ac:dyDescent="0.2">
      <c r="A52" s="36" t="s">
        <v>31</v>
      </c>
      <c r="B52" s="8" t="s">
        <v>53</v>
      </c>
      <c r="C52" s="2">
        <v>1</v>
      </c>
      <c r="D52" s="2">
        <v>1</v>
      </c>
      <c r="E52" s="3">
        <f t="shared" si="20"/>
        <v>2</v>
      </c>
      <c r="F52" s="6">
        <v>1.6</v>
      </c>
      <c r="G52" s="10"/>
      <c r="H52" s="10"/>
      <c r="I52" s="3">
        <f t="shared" si="21"/>
        <v>0</v>
      </c>
      <c r="J52" s="23"/>
      <c r="K52" s="2">
        <v>4</v>
      </c>
      <c r="L52" s="2">
        <v>1</v>
      </c>
      <c r="M52" s="3">
        <f t="shared" si="22"/>
        <v>5</v>
      </c>
      <c r="N52" s="6">
        <f>63/15</f>
        <v>4.2</v>
      </c>
      <c r="O52" s="10">
        <v>0</v>
      </c>
      <c r="P52" s="10">
        <v>2</v>
      </c>
      <c r="Q52" s="3">
        <f t="shared" si="23"/>
        <v>2</v>
      </c>
      <c r="R52" s="23">
        <v>0.9</v>
      </c>
      <c r="S52" s="2">
        <v>5</v>
      </c>
      <c r="T52" s="2">
        <v>2</v>
      </c>
      <c r="U52" s="3">
        <f t="shared" si="24"/>
        <v>7</v>
      </c>
      <c r="V52" s="6">
        <f>86/15</f>
        <v>5.7333333333333334</v>
      </c>
      <c r="W52" s="10">
        <v>3</v>
      </c>
      <c r="X52" s="10">
        <v>2</v>
      </c>
      <c r="Y52" s="3">
        <f t="shared" si="25"/>
        <v>5</v>
      </c>
      <c r="Z52" s="23">
        <f>54/15</f>
        <v>3.6</v>
      </c>
      <c r="AA52" s="2">
        <v>4</v>
      </c>
      <c r="AB52" s="2">
        <v>3</v>
      </c>
      <c r="AC52" s="3">
        <f t="shared" si="26"/>
        <v>7</v>
      </c>
      <c r="AD52" s="6">
        <f>65/15</f>
        <v>4.333333333333333</v>
      </c>
      <c r="AE52" s="10">
        <v>1</v>
      </c>
      <c r="AF52" s="10">
        <v>2</v>
      </c>
      <c r="AG52" s="3">
        <f t="shared" si="27"/>
        <v>3</v>
      </c>
      <c r="AH52" s="23">
        <f>21/15</f>
        <v>1.4</v>
      </c>
      <c r="AI52" s="2">
        <v>6</v>
      </c>
      <c r="AJ52" s="2">
        <v>2</v>
      </c>
      <c r="AK52" s="3">
        <f t="shared" si="34"/>
        <v>8</v>
      </c>
      <c r="AL52" s="6">
        <f>89/15</f>
        <v>5.9333333333333336</v>
      </c>
      <c r="AM52" s="10">
        <v>7</v>
      </c>
      <c r="AN52" s="10">
        <v>2</v>
      </c>
      <c r="AO52" s="3">
        <f t="shared" si="35"/>
        <v>9</v>
      </c>
      <c r="AP52" s="23">
        <f>103/15</f>
        <v>6.8666666666666663</v>
      </c>
      <c r="AQ52" s="2">
        <v>5</v>
      </c>
      <c r="AR52" s="2">
        <v>6</v>
      </c>
      <c r="AS52" s="3">
        <f t="shared" si="36"/>
        <v>11</v>
      </c>
      <c r="AT52" s="6">
        <f>103/15</f>
        <v>6.8666666666666663</v>
      </c>
      <c r="AU52" s="10">
        <v>6</v>
      </c>
      <c r="AV52" s="10">
        <v>5</v>
      </c>
      <c r="AW52" s="3">
        <f t="shared" si="37"/>
        <v>11</v>
      </c>
      <c r="AX52" s="23">
        <f>124/15</f>
        <v>8.2666666666666675</v>
      </c>
      <c r="AY52" s="2">
        <v>4</v>
      </c>
      <c r="AZ52" s="2">
        <v>3</v>
      </c>
      <c r="BA52" s="3">
        <f t="shared" si="38"/>
        <v>7</v>
      </c>
      <c r="BB52" s="6">
        <f>(73)/15</f>
        <v>4.8666666666666663</v>
      </c>
      <c r="BC52" s="10">
        <v>2</v>
      </c>
      <c r="BD52" s="10">
        <v>5</v>
      </c>
      <c r="BE52" s="3">
        <f t="shared" si="39"/>
        <v>7</v>
      </c>
      <c r="BF52" s="23">
        <f>54.5/15</f>
        <v>3.6333333333333333</v>
      </c>
    </row>
    <row r="53" spans="1:147" x14ac:dyDescent="0.2">
      <c r="A53" s="36" t="s">
        <v>32</v>
      </c>
      <c r="B53" s="8" t="s">
        <v>54</v>
      </c>
      <c r="C53" s="50"/>
      <c r="D53" s="50"/>
      <c r="E53" s="51"/>
      <c r="F53" s="52"/>
      <c r="G53" s="50"/>
      <c r="H53" s="50"/>
      <c r="I53" s="51"/>
      <c r="J53" s="52"/>
      <c r="K53" s="5">
        <v>0</v>
      </c>
      <c r="L53" s="5">
        <v>0</v>
      </c>
      <c r="M53" s="3">
        <f t="shared" si="22"/>
        <v>0</v>
      </c>
      <c r="N53" s="6">
        <v>0</v>
      </c>
      <c r="O53" s="10">
        <v>0</v>
      </c>
      <c r="P53" s="10">
        <v>0</v>
      </c>
      <c r="Q53" s="3">
        <f t="shared" ref="Q38:Q55" si="40">SUM(O53:P53)</f>
        <v>0</v>
      </c>
      <c r="R53" s="23">
        <v>0</v>
      </c>
      <c r="S53" s="5">
        <v>0</v>
      </c>
      <c r="T53" s="5">
        <v>0</v>
      </c>
      <c r="U53" s="3">
        <f t="shared" si="24"/>
        <v>0</v>
      </c>
      <c r="V53" s="6">
        <v>0</v>
      </c>
      <c r="W53" s="10">
        <v>0</v>
      </c>
      <c r="X53" s="10">
        <v>0</v>
      </c>
      <c r="Y53" s="3">
        <f t="shared" si="25"/>
        <v>0</v>
      </c>
      <c r="Z53" s="23">
        <v>0</v>
      </c>
      <c r="AA53" s="5">
        <v>1</v>
      </c>
      <c r="AB53" s="5">
        <v>1</v>
      </c>
      <c r="AC53" s="3">
        <f t="shared" si="26"/>
        <v>2</v>
      </c>
      <c r="AD53" s="6">
        <f>15/15</f>
        <v>1</v>
      </c>
      <c r="AE53" s="10">
        <v>0</v>
      </c>
      <c r="AF53" s="10">
        <v>1</v>
      </c>
      <c r="AG53" s="3">
        <f t="shared" si="27"/>
        <v>1</v>
      </c>
      <c r="AH53" s="23">
        <f>10/15</f>
        <v>0.66666666666666663</v>
      </c>
      <c r="AI53" s="5">
        <v>3</v>
      </c>
      <c r="AJ53" s="5">
        <v>2</v>
      </c>
      <c r="AK53" s="3">
        <f t="shared" si="34"/>
        <v>5</v>
      </c>
      <c r="AL53" s="6">
        <f>51/15</f>
        <v>3.4</v>
      </c>
      <c r="AM53" s="10">
        <v>1</v>
      </c>
      <c r="AN53" s="10">
        <v>2</v>
      </c>
      <c r="AO53" s="3">
        <f t="shared" si="35"/>
        <v>3</v>
      </c>
      <c r="AP53" s="23">
        <f>25/15</f>
        <v>1.6666666666666667</v>
      </c>
      <c r="AQ53" s="5">
        <v>2</v>
      </c>
      <c r="AR53" s="5">
        <v>0</v>
      </c>
      <c r="AS53" s="3">
        <f t="shared" si="36"/>
        <v>2</v>
      </c>
      <c r="AT53" s="6">
        <f>25/15</f>
        <v>1.6666666666666667</v>
      </c>
      <c r="AU53" s="10">
        <v>1</v>
      </c>
      <c r="AV53" s="10">
        <v>1</v>
      </c>
      <c r="AW53" s="3">
        <f t="shared" si="37"/>
        <v>2</v>
      </c>
      <c r="AX53" s="23">
        <f>18/15</f>
        <v>1.2</v>
      </c>
      <c r="AY53" s="5">
        <v>2</v>
      </c>
      <c r="AZ53" s="5">
        <v>2</v>
      </c>
      <c r="BA53" s="3">
        <f t="shared" si="38"/>
        <v>4</v>
      </c>
      <c r="BB53" s="6">
        <f>(34)/15</f>
        <v>2.2666666666666666</v>
      </c>
      <c r="BC53" s="10">
        <v>1</v>
      </c>
      <c r="BD53" s="10">
        <v>1</v>
      </c>
      <c r="BE53" s="3">
        <f t="shared" si="39"/>
        <v>2</v>
      </c>
      <c r="BF53" s="23">
        <f>21/15</f>
        <v>1.4</v>
      </c>
    </row>
    <row r="54" spans="1:147" hidden="1" x14ac:dyDescent="0.2">
      <c r="A54" s="36" t="s">
        <v>30</v>
      </c>
      <c r="B54" s="8" t="s">
        <v>52</v>
      </c>
      <c r="E54" s="3">
        <f t="shared" si="20"/>
        <v>0</v>
      </c>
      <c r="G54" s="10"/>
      <c r="H54" s="10"/>
      <c r="I54" s="3">
        <f t="shared" si="21"/>
        <v>0</v>
      </c>
      <c r="J54" s="23"/>
      <c r="K54" s="2">
        <v>0</v>
      </c>
      <c r="L54" s="2">
        <v>0</v>
      </c>
      <c r="M54" s="3">
        <f t="shared" si="22"/>
        <v>0</v>
      </c>
      <c r="N54" s="6">
        <v>0</v>
      </c>
      <c r="O54" s="10"/>
      <c r="P54" s="10"/>
      <c r="Q54" s="3">
        <f t="shared" si="40"/>
        <v>0</v>
      </c>
      <c r="R54" s="23"/>
      <c r="S54" s="2">
        <v>0</v>
      </c>
      <c r="T54" s="2">
        <v>0</v>
      </c>
      <c r="U54" s="3">
        <f t="shared" si="24"/>
        <v>0</v>
      </c>
      <c r="V54" s="6">
        <v>0</v>
      </c>
      <c r="W54" s="10">
        <v>0</v>
      </c>
      <c r="X54" s="10">
        <v>1</v>
      </c>
      <c r="Y54" s="3">
        <f t="shared" si="25"/>
        <v>1</v>
      </c>
      <c r="Z54" s="23">
        <f>3/15</f>
        <v>0.2</v>
      </c>
      <c r="AA54" s="2">
        <v>0</v>
      </c>
      <c r="AB54" s="2">
        <v>0</v>
      </c>
      <c r="AC54" s="3">
        <f t="shared" si="26"/>
        <v>0</v>
      </c>
      <c r="AD54" s="6">
        <v>0</v>
      </c>
      <c r="AE54" s="10">
        <v>0</v>
      </c>
      <c r="AF54" s="10">
        <v>1</v>
      </c>
      <c r="AG54" s="3">
        <f t="shared" si="27"/>
        <v>1</v>
      </c>
      <c r="AH54" s="23">
        <f>4/15</f>
        <v>0.26666666666666666</v>
      </c>
      <c r="AI54" s="2">
        <v>0</v>
      </c>
      <c r="AJ54" s="2">
        <v>0</v>
      </c>
      <c r="AK54" s="3">
        <f t="shared" si="34"/>
        <v>0</v>
      </c>
      <c r="AL54" s="6">
        <v>0</v>
      </c>
      <c r="AM54" s="10">
        <v>0</v>
      </c>
      <c r="AN54" s="10">
        <v>2</v>
      </c>
      <c r="AO54" s="3">
        <f t="shared" si="35"/>
        <v>2</v>
      </c>
      <c r="AP54" s="23">
        <f>9/15</f>
        <v>0.6</v>
      </c>
      <c r="AQ54" s="2">
        <v>0</v>
      </c>
      <c r="AR54" s="2">
        <v>1</v>
      </c>
      <c r="AS54" s="3">
        <f t="shared" si="36"/>
        <v>1</v>
      </c>
      <c r="AT54" s="6">
        <f>3/15</f>
        <v>0.2</v>
      </c>
      <c r="AU54" s="10">
        <v>1</v>
      </c>
      <c r="AV54" s="10">
        <v>1</v>
      </c>
      <c r="AW54" s="3">
        <f t="shared" si="37"/>
        <v>2</v>
      </c>
      <c r="AX54" s="23">
        <f>16/15</f>
        <v>1.0666666666666667</v>
      </c>
      <c r="AY54" s="2">
        <v>0</v>
      </c>
      <c r="AZ54" s="2">
        <v>1</v>
      </c>
      <c r="BA54" s="3">
        <f t="shared" si="38"/>
        <v>1</v>
      </c>
      <c r="BB54" s="6">
        <f>3/15</f>
        <v>0.2</v>
      </c>
      <c r="BC54" s="10">
        <v>0</v>
      </c>
      <c r="BD54" s="10">
        <v>2</v>
      </c>
      <c r="BE54" s="3">
        <f t="shared" si="39"/>
        <v>2</v>
      </c>
      <c r="BF54" s="23">
        <f>5/15</f>
        <v>0.33333333333333331</v>
      </c>
    </row>
    <row r="55" spans="1:147" x14ac:dyDescent="0.2">
      <c r="A55" s="37" t="s">
        <v>34</v>
      </c>
      <c r="B55" s="8" t="s">
        <v>56</v>
      </c>
      <c r="C55" s="5">
        <v>7</v>
      </c>
      <c r="D55" s="5">
        <v>2</v>
      </c>
      <c r="E55" s="7">
        <f t="shared" si="20"/>
        <v>9</v>
      </c>
      <c r="F55" s="6">
        <v>7.5</v>
      </c>
      <c r="G55" s="10"/>
      <c r="H55" s="10"/>
      <c r="I55" s="7">
        <f t="shared" si="21"/>
        <v>0</v>
      </c>
      <c r="J55" s="23"/>
      <c r="K55" s="5">
        <v>8</v>
      </c>
      <c r="L55" s="5">
        <v>2</v>
      </c>
      <c r="M55" s="7">
        <f t="shared" si="22"/>
        <v>10</v>
      </c>
      <c r="N55" s="6">
        <f>136/15</f>
        <v>9.0666666666666664</v>
      </c>
      <c r="O55" s="10">
        <v>5</v>
      </c>
      <c r="P55" s="10">
        <v>3</v>
      </c>
      <c r="Q55" s="7">
        <f t="shared" si="40"/>
        <v>8</v>
      </c>
      <c r="R55" s="23">
        <v>5.9</v>
      </c>
      <c r="S55" s="5">
        <v>14</v>
      </c>
      <c r="T55" s="5">
        <v>3</v>
      </c>
      <c r="U55" s="7">
        <f t="shared" si="24"/>
        <v>17</v>
      </c>
      <c r="V55" s="6">
        <f>210/15</f>
        <v>14</v>
      </c>
      <c r="W55" s="10">
        <v>9</v>
      </c>
      <c r="X55" s="10">
        <v>6</v>
      </c>
      <c r="Y55" s="7">
        <f t="shared" si="25"/>
        <v>15</v>
      </c>
      <c r="Z55" s="23">
        <f>170/15</f>
        <v>11.333333333333334</v>
      </c>
      <c r="AA55" s="5">
        <v>14</v>
      </c>
      <c r="AB55" s="5">
        <v>5</v>
      </c>
      <c r="AC55" s="7">
        <f t="shared" si="26"/>
        <v>19</v>
      </c>
      <c r="AD55" s="6">
        <f>226.5/15</f>
        <v>15.1</v>
      </c>
      <c r="AE55" s="10">
        <v>14</v>
      </c>
      <c r="AF55" s="10">
        <v>2</v>
      </c>
      <c r="AG55" s="7">
        <f t="shared" si="27"/>
        <v>16</v>
      </c>
      <c r="AH55" s="23">
        <f>197.5/15</f>
        <v>13.166666666666666</v>
      </c>
      <c r="AI55" s="5">
        <v>22</v>
      </c>
      <c r="AJ55" s="5">
        <v>4</v>
      </c>
      <c r="AK55" s="7">
        <f t="shared" si="34"/>
        <v>26</v>
      </c>
      <c r="AL55" s="6">
        <f>347.5/15</f>
        <v>23.166666666666668</v>
      </c>
      <c r="AM55" s="10">
        <v>16</v>
      </c>
      <c r="AN55" s="10">
        <v>5</v>
      </c>
      <c r="AO55" s="7">
        <f t="shared" si="35"/>
        <v>21</v>
      </c>
      <c r="AP55" s="23">
        <f>273.5/15</f>
        <v>18.233333333333334</v>
      </c>
      <c r="AQ55" s="5">
        <v>20</v>
      </c>
      <c r="AR55" s="5">
        <v>7</v>
      </c>
      <c r="AS55" s="7">
        <f t="shared" si="36"/>
        <v>27</v>
      </c>
      <c r="AT55" s="6">
        <f>331/15</f>
        <v>22.066666666666666</v>
      </c>
      <c r="AU55" s="10">
        <v>16</v>
      </c>
      <c r="AV55" s="10">
        <v>5</v>
      </c>
      <c r="AW55" s="7">
        <f t="shared" si="37"/>
        <v>21</v>
      </c>
      <c r="AX55" s="23">
        <f>256/15</f>
        <v>17.066666666666666</v>
      </c>
      <c r="AY55" s="5">
        <v>21</v>
      </c>
      <c r="AZ55" s="5">
        <v>6</v>
      </c>
      <c r="BA55" s="7">
        <f t="shared" si="38"/>
        <v>27</v>
      </c>
      <c r="BB55" s="6">
        <f>(347)/15</f>
        <v>23.133333333333333</v>
      </c>
      <c r="BC55" s="10">
        <v>21</v>
      </c>
      <c r="BD55" s="10">
        <v>7</v>
      </c>
      <c r="BE55" s="7">
        <f t="shared" si="39"/>
        <v>28</v>
      </c>
      <c r="BF55" s="23">
        <f>336.5/15</f>
        <v>22.433333333333334</v>
      </c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</row>
    <row r="56" spans="1:147" s="8" customFormat="1" hidden="1" x14ac:dyDescent="0.2">
      <c r="A56" s="37" t="s">
        <v>33</v>
      </c>
      <c r="B56" s="8" t="s">
        <v>55</v>
      </c>
      <c r="C56" s="32"/>
      <c r="D56" s="32"/>
      <c r="E56" s="34"/>
      <c r="F56" s="31"/>
      <c r="G56" s="29"/>
      <c r="H56" s="29"/>
      <c r="I56" s="34"/>
      <c r="J56" s="33"/>
      <c r="K56" s="32"/>
      <c r="L56" s="32"/>
      <c r="M56" s="34"/>
      <c r="N56" s="31"/>
      <c r="O56" s="29"/>
      <c r="P56" s="29"/>
      <c r="Q56" s="34"/>
      <c r="R56" s="33"/>
      <c r="S56" s="32"/>
      <c r="T56" s="32"/>
      <c r="U56" s="34"/>
      <c r="V56" s="31"/>
      <c r="W56" s="29"/>
      <c r="X56" s="29"/>
      <c r="Y56" s="34"/>
      <c r="Z56" s="33"/>
      <c r="AA56" s="2">
        <v>0</v>
      </c>
      <c r="AB56" s="2">
        <v>0</v>
      </c>
      <c r="AC56" s="7">
        <f t="shared" si="26"/>
        <v>0</v>
      </c>
      <c r="AD56" s="6">
        <v>0</v>
      </c>
      <c r="AE56" s="10">
        <v>0</v>
      </c>
      <c r="AF56" s="10">
        <v>0</v>
      </c>
      <c r="AG56" s="7">
        <f t="shared" si="27"/>
        <v>0</v>
      </c>
      <c r="AH56" s="23">
        <v>0</v>
      </c>
      <c r="AI56" s="2">
        <v>0</v>
      </c>
      <c r="AJ56" s="2">
        <v>0</v>
      </c>
      <c r="AK56" s="7">
        <f t="shared" si="34"/>
        <v>0</v>
      </c>
      <c r="AL56" s="6">
        <v>0</v>
      </c>
      <c r="AM56" s="10">
        <v>0</v>
      </c>
      <c r="AN56" s="10">
        <v>0</v>
      </c>
      <c r="AO56" s="7">
        <f t="shared" si="35"/>
        <v>0</v>
      </c>
      <c r="AP56" s="23">
        <v>0</v>
      </c>
      <c r="AQ56" s="2">
        <v>0</v>
      </c>
      <c r="AR56" s="2">
        <v>0</v>
      </c>
      <c r="AS56" s="7">
        <f t="shared" si="36"/>
        <v>0</v>
      </c>
      <c r="AT56" s="6">
        <v>0</v>
      </c>
      <c r="AU56" s="10">
        <v>0</v>
      </c>
      <c r="AV56" s="10">
        <v>0</v>
      </c>
      <c r="AW56" s="7">
        <f t="shared" si="37"/>
        <v>0</v>
      </c>
      <c r="AX56" s="23">
        <f>0/15</f>
        <v>0</v>
      </c>
      <c r="AY56" s="5">
        <v>1</v>
      </c>
      <c r="AZ56" s="5">
        <v>1</v>
      </c>
      <c r="BA56" s="7">
        <f t="shared" si="38"/>
        <v>2</v>
      </c>
      <c r="BB56" s="6">
        <f>(25)/15</f>
        <v>1.6666666666666667</v>
      </c>
      <c r="BC56" s="5">
        <v>0</v>
      </c>
      <c r="BD56" s="5">
        <v>1</v>
      </c>
      <c r="BE56" s="7">
        <f t="shared" si="39"/>
        <v>1</v>
      </c>
      <c r="BF56" s="23">
        <f>6/15</f>
        <v>0.4</v>
      </c>
    </row>
    <row r="57" spans="1:147" x14ac:dyDescent="0.2">
      <c r="B57" s="27" t="s">
        <v>7</v>
      </c>
      <c r="C57" s="43">
        <f t="shared" ref="C57:J57" si="41">SUM(C38:C56)</f>
        <v>640</v>
      </c>
      <c r="D57" s="43">
        <f t="shared" si="41"/>
        <v>193</v>
      </c>
      <c r="E57" s="45">
        <f t="shared" si="41"/>
        <v>833</v>
      </c>
      <c r="F57" s="39">
        <f t="shared" si="41"/>
        <v>725.20000000000016</v>
      </c>
      <c r="G57" s="43">
        <f t="shared" si="41"/>
        <v>0</v>
      </c>
      <c r="H57" s="43">
        <f t="shared" si="41"/>
        <v>0</v>
      </c>
      <c r="I57" s="45">
        <f t="shared" si="41"/>
        <v>0</v>
      </c>
      <c r="J57" s="39">
        <f t="shared" si="41"/>
        <v>0</v>
      </c>
      <c r="K57" s="43">
        <f t="shared" ref="K57:BF57" si="42">SUM(K38:K56)</f>
        <v>625</v>
      </c>
      <c r="L57" s="43">
        <f t="shared" si="42"/>
        <v>155</v>
      </c>
      <c r="M57" s="45">
        <f t="shared" si="42"/>
        <v>780</v>
      </c>
      <c r="N57" s="39">
        <f t="shared" si="42"/>
        <v>675.70000000000016</v>
      </c>
      <c r="O57" s="43">
        <f t="shared" si="42"/>
        <v>515</v>
      </c>
      <c r="P57" s="43">
        <f t="shared" si="42"/>
        <v>153</v>
      </c>
      <c r="Q57" s="45">
        <f t="shared" si="42"/>
        <v>668</v>
      </c>
      <c r="R57" s="39">
        <f t="shared" si="42"/>
        <v>576.09999999999991</v>
      </c>
      <c r="S57" s="43">
        <f t="shared" si="42"/>
        <v>626</v>
      </c>
      <c r="T57" s="43">
        <f t="shared" si="42"/>
        <v>174</v>
      </c>
      <c r="U57" s="45">
        <f t="shared" si="42"/>
        <v>800</v>
      </c>
      <c r="V57" s="39">
        <f t="shared" si="42"/>
        <v>687.93333333333328</v>
      </c>
      <c r="W57" s="43">
        <f t="shared" si="42"/>
        <v>510</v>
      </c>
      <c r="X57" s="43">
        <f t="shared" si="42"/>
        <v>153</v>
      </c>
      <c r="Y57" s="45">
        <f t="shared" si="42"/>
        <v>663</v>
      </c>
      <c r="Z57" s="39">
        <f t="shared" si="42"/>
        <v>567.3666666666669</v>
      </c>
      <c r="AA57" s="43">
        <f t="shared" si="42"/>
        <v>686</v>
      </c>
      <c r="AB57" s="43">
        <f t="shared" si="42"/>
        <v>200</v>
      </c>
      <c r="AC57" s="45">
        <f t="shared" si="42"/>
        <v>886</v>
      </c>
      <c r="AD57" s="39">
        <f t="shared" si="42"/>
        <v>764.76666666666688</v>
      </c>
      <c r="AE57" s="43">
        <f t="shared" si="42"/>
        <v>574</v>
      </c>
      <c r="AF57" s="43">
        <f t="shared" si="42"/>
        <v>186</v>
      </c>
      <c r="AG57" s="45">
        <f t="shared" si="42"/>
        <v>760</v>
      </c>
      <c r="AH57" s="39">
        <f t="shared" si="42"/>
        <v>643.56666666666672</v>
      </c>
      <c r="AI57" s="43">
        <f t="shared" si="42"/>
        <v>727</v>
      </c>
      <c r="AJ57" s="43">
        <f t="shared" si="42"/>
        <v>194</v>
      </c>
      <c r="AK57" s="45">
        <f t="shared" si="42"/>
        <v>921</v>
      </c>
      <c r="AL57" s="39">
        <f t="shared" si="42"/>
        <v>798.16666666666629</v>
      </c>
      <c r="AM57" s="43">
        <f t="shared" si="42"/>
        <v>601</v>
      </c>
      <c r="AN57" s="43">
        <f t="shared" si="42"/>
        <v>191</v>
      </c>
      <c r="AO57" s="45">
        <f t="shared" si="42"/>
        <v>792</v>
      </c>
      <c r="AP57" s="39">
        <f t="shared" si="42"/>
        <v>671.43333333333317</v>
      </c>
      <c r="AQ57" s="43">
        <f t="shared" si="42"/>
        <v>639</v>
      </c>
      <c r="AR57" s="43">
        <f t="shared" si="42"/>
        <v>189</v>
      </c>
      <c r="AS57" s="45">
        <f t="shared" si="42"/>
        <v>828</v>
      </c>
      <c r="AT57" s="39">
        <f t="shared" si="42"/>
        <v>705.73333333333346</v>
      </c>
      <c r="AU57" s="43">
        <f t="shared" si="42"/>
        <v>609</v>
      </c>
      <c r="AV57" s="43">
        <f t="shared" si="42"/>
        <v>206</v>
      </c>
      <c r="AW57" s="45">
        <f t="shared" si="42"/>
        <v>815</v>
      </c>
      <c r="AX57" s="39">
        <f t="shared" si="42"/>
        <v>680.73333333333358</v>
      </c>
      <c r="AY57" s="43">
        <f t="shared" si="42"/>
        <v>643</v>
      </c>
      <c r="AZ57" s="43">
        <f t="shared" si="42"/>
        <v>196</v>
      </c>
      <c r="BA57" s="45">
        <f t="shared" si="42"/>
        <v>839</v>
      </c>
      <c r="BB57" s="39">
        <f t="shared" si="42"/>
        <v>709.7</v>
      </c>
      <c r="BC57" s="43">
        <f t="shared" si="42"/>
        <v>566</v>
      </c>
      <c r="BD57" s="43">
        <f t="shared" si="42"/>
        <v>189</v>
      </c>
      <c r="BE57" s="45">
        <f t="shared" si="42"/>
        <v>755</v>
      </c>
      <c r="BF57" s="39">
        <f t="shared" si="42"/>
        <v>639.5</v>
      </c>
    </row>
    <row r="58" spans="1:147" x14ac:dyDescent="0.2">
      <c r="B58" s="8"/>
      <c r="C58" s="20"/>
      <c r="D58" s="20"/>
      <c r="E58" s="15"/>
      <c r="G58" s="20"/>
      <c r="H58" s="20"/>
      <c r="I58" s="26" t="s">
        <v>8</v>
      </c>
      <c r="J58" s="6">
        <f>(F57+J57)/2</f>
        <v>362.60000000000008</v>
      </c>
      <c r="K58" s="20"/>
      <c r="L58" s="20"/>
      <c r="M58" s="15"/>
      <c r="O58" s="20"/>
      <c r="P58" s="20"/>
      <c r="Q58" s="26" t="s">
        <v>8</v>
      </c>
      <c r="R58" s="6">
        <f>(N57+R57)/2</f>
        <v>625.90000000000009</v>
      </c>
      <c r="S58" s="20"/>
      <c r="T58" s="20"/>
      <c r="U58" s="15"/>
      <c r="W58" s="20"/>
      <c r="X58" s="20"/>
      <c r="Y58" s="26" t="s">
        <v>8</v>
      </c>
      <c r="Z58" s="6">
        <f>(V57+Z57)/2</f>
        <v>627.65000000000009</v>
      </c>
      <c r="AA58" s="20"/>
      <c r="AB58" s="20"/>
      <c r="AC58" s="15"/>
      <c r="AE58" s="20"/>
      <c r="AF58" s="20"/>
      <c r="AG58" s="26" t="s">
        <v>8</v>
      </c>
      <c r="AH58" s="6">
        <f>(AD57+AH57)/2</f>
        <v>704.16666666666674</v>
      </c>
      <c r="AI58" s="20"/>
      <c r="AJ58" s="20"/>
      <c r="AK58" s="15"/>
      <c r="AM58" s="20"/>
      <c r="AN58" s="20"/>
      <c r="AO58" s="26" t="s">
        <v>8</v>
      </c>
      <c r="AP58" s="6">
        <f>(AL57+AP57)/2</f>
        <v>734.79999999999973</v>
      </c>
      <c r="AQ58" s="20"/>
      <c r="AR58" s="20"/>
      <c r="AS58" s="15"/>
      <c r="AU58" s="20"/>
      <c r="AV58" s="20"/>
      <c r="AW58" s="26" t="s">
        <v>8</v>
      </c>
      <c r="AX58" s="6">
        <f>(AT57+AX57)/2</f>
        <v>693.23333333333358</v>
      </c>
      <c r="AY58" s="20"/>
      <c r="AZ58" s="20"/>
      <c r="BA58" s="15"/>
      <c r="BC58" s="20"/>
      <c r="BD58" s="20"/>
      <c r="BE58" s="26" t="s">
        <v>8</v>
      </c>
      <c r="BF58" s="6">
        <f>(BB57+BF57)/2</f>
        <v>674.6</v>
      </c>
    </row>
    <row r="59" spans="1:147" x14ac:dyDescent="0.2">
      <c r="B59" s="4"/>
      <c r="E59" s="7"/>
      <c r="G59" s="2"/>
      <c r="H59" s="2"/>
      <c r="I59" s="7"/>
      <c r="J59" s="6"/>
      <c r="M59" s="7"/>
      <c r="O59" s="2"/>
      <c r="P59" s="2"/>
      <c r="Q59" s="7"/>
      <c r="R59" s="6"/>
      <c r="U59" s="7"/>
      <c r="W59" s="2"/>
      <c r="X59" s="2"/>
      <c r="Y59" s="7"/>
      <c r="Z59" s="6"/>
      <c r="AC59" s="7"/>
      <c r="AE59" s="2"/>
      <c r="AF59" s="2"/>
      <c r="AG59" s="7"/>
      <c r="AH59" s="6"/>
      <c r="AK59" s="7"/>
      <c r="AM59" s="2"/>
      <c r="AN59" s="2"/>
      <c r="AO59" s="7"/>
      <c r="AP59" s="6"/>
      <c r="AS59" s="7"/>
      <c r="AU59" s="2"/>
      <c r="AV59" s="2"/>
      <c r="AW59" s="7"/>
      <c r="AX59" s="6"/>
      <c r="BA59" s="7"/>
      <c r="BC59" s="2"/>
      <c r="BD59" s="2"/>
      <c r="BE59" s="7"/>
      <c r="BF59" s="6"/>
    </row>
    <row r="60" spans="1:147" x14ac:dyDescent="0.2">
      <c r="B60" s="8"/>
      <c r="E60" s="3" t="s">
        <v>263</v>
      </c>
      <c r="F60" s="21"/>
      <c r="I60" s="3" t="s">
        <v>264</v>
      </c>
      <c r="J60" s="6"/>
      <c r="M60" s="3" t="s">
        <v>232</v>
      </c>
      <c r="N60" s="21"/>
      <c r="Q60" s="3" t="s">
        <v>233</v>
      </c>
      <c r="R60" s="6"/>
      <c r="U60" s="3" t="s">
        <v>225</v>
      </c>
      <c r="V60" s="21"/>
      <c r="Y60" s="3" t="s">
        <v>226</v>
      </c>
      <c r="Z60" s="6"/>
      <c r="AC60" s="3" t="s">
        <v>221</v>
      </c>
      <c r="AD60" s="21"/>
      <c r="AG60" s="3" t="s">
        <v>222</v>
      </c>
      <c r="AH60" s="6"/>
      <c r="AK60" s="3" t="s">
        <v>215</v>
      </c>
      <c r="AL60" s="21"/>
      <c r="AO60" s="3" t="s">
        <v>216</v>
      </c>
      <c r="AP60" s="6"/>
      <c r="AS60" s="3" t="s">
        <v>209</v>
      </c>
      <c r="AT60" s="21"/>
      <c r="AW60" s="3" t="s">
        <v>210</v>
      </c>
      <c r="AX60" s="6"/>
      <c r="BA60" s="3" t="s">
        <v>205</v>
      </c>
      <c r="BB60" s="21"/>
      <c r="BE60" s="3" t="s">
        <v>206</v>
      </c>
      <c r="BF60" s="6"/>
    </row>
    <row r="61" spans="1:147" x14ac:dyDescent="0.2">
      <c r="B61" s="4" t="s">
        <v>238</v>
      </c>
      <c r="C61" s="2" t="s">
        <v>0</v>
      </c>
      <c r="D61" s="2" t="s">
        <v>1</v>
      </c>
      <c r="E61" s="7" t="s">
        <v>5</v>
      </c>
      <c r="F61" s="6" t="s">
        <v>6</v>
      </c>
      <c r="G61" s="2" t="s">
        <v>0</v>
      </c>
      <c r="H61" s="2" t="s">
        <v>1</v>
      </c>
      <c r="I61" s="7" t="s">
        <v>5</v>
      </c>
      <c r="J61" s="6" t="s">
        <v>6</v>
      </c>
      <c r="K61" s="2" t="s">
        <v>0</v>
      </c>
      <c r="L61" s="2" t="s">
        <v>1</v>
      </c>
      <c r="M61" s="7" t="s">
        <v>5</v>
      </c>
      <c r="N61" s="6" t="s">
        <v>6</v>
      </c>
      <c r="O61" s="2" t="s">
        <v>0</v>
      </c>
      <c r="P61" s="2" t="s">
        <v>1</v>
      </c>
      <c r="Q61" s="7" t="s">
        <v>5</v>
      </c>
      <c r="R61" s="6" t="s">
        <v>6</v>
      </c>
      <c r="S61" s="2" t="s">
        <v>0</v>
      </c>
      <c r="T61" s="2" t="s">
        <v>1</v>
      </c>
      <c r="U61" s="7" t="s">
        <v>5</v>
      </c>
      <c r="V61" s="6" t="s">
        <v>6</v>
      </c>
      <c r="W61" s="2" t="s">
        <v>0</v>
      </c>
      <c r="X61" s="2" t="s">
        <v>1</v>
      </c>
      <c r="Y61" s="7" t="s">
        <v>5</v>
      </c>
      <c r="Z61" s="6" t="s">
        <v>6</v>
      </c>
      <c r="AA61" s="2" t="s">
        <v>0</v>
      </c>
      <c r="AB61" s="2" t="s">
        <v>1</v>
      </c>
      <c r="AC61" s="7" t="s">
        <v>5</v>
      </c>
      <c r="AD61" s="6" t="s">
        <v>6</v>
      </c>
      <c r="AE61" s="2" t="s">
        <v>0</v>
      </c>
      <c r="AF61" s="2" t="s">
        <v>1</v>
      </c>
      <c r="AG61" s="7" t="s">
        <v>5</v>
      </c>
      <c r="AH61" s="6" t="s">
        <v>6</v>
      </c>
      <c r="AI61" s="2" t="s">
        <v>0</v>
      </c>
      <c r="AJ61" s="2" t="s">
        <v>1</v>
      </c>
      <c r="AK61" s="7" t="s">
        <v>5</v>
      </c>
      <c r="AL61" s="6" t="s">
        <v>6</v>
      </c>
      <c r="AM61" s="2" t="s">
        <v>0</v>
      </c>
      <c r="AN61" s="2" t="s">
        <v>1</v>
      </c>
      <c r="AO61" s="7" t="s">
        <v>5</v>
      </c>
      <c r="AP61" s="6" t="s">
        <v>6</v>
      </c>
      <c r="AQ61" s="2" t="s">
        <v>0</v>
      </c>
      <c r="AR61" s="2" t="s">
        <v>1</v>
      </c>
      <c r="AS61" s="7" t="s">
        <v>5</v>
      </c>
      <c r="AT61" s="6" t="s">
        <v>6</v>
      </c>
      <c r="AU61" s="2" t="s">
        <v>0</v>
      </c>
      <c r="AV61" s="2" t="s">
        <v>1</v>
      </c>
      <c r="AW61" s="7" t="s">
        <v>5</v>
      </c>
      <c r="AX61" s="6" t="s">
        <v>6</v>
      </c>
      <c r="AY61" s="2" t="s">
        <v>0</v>
      </c>
      <c r="AZ61" s="2" t="s">
        <v>1</v>
      </c>
      <c r="BA61" s="7" t="s">
        <v>5</v>
      </c>
      <c r="BB61" s="6" t="s">
        <v>6</v>
      </c>
      <c r="BC61" s="2" t="s">
        <v>0</v>
      </c>
      <c r="BD61" s="2" t="s">
        <v>1</v>
      </c>
      <c r="BE61" s="7" t="s">
        <v>5</v>
      </c>
      <c r="BF61" s="6" t="s">
        <v>6</v>
      </c>
    </row>
    <row r="62" spans="1:147" x14ac:dyDescent="0.2">
      <c r="A62" s="37" t="s">
        <v>83</v>
      </c>
      <c r="B62" s="8" t="s">
        <v>89</v>
      </c>
      <c r="C62" s="5">
        <v>14</v>
      </c>
      <c r="D62" s="5">
        <v>7</v>
      </c>
      <c r="E62" s="7">
        <f>SUM(C62:D62)</f>
        <v>21</v>
      </c>
      <c r="F62" s="6">
        <v>18.600000000000001</v>
      </c>
      <c r="G62" s="10"/>
      <c r="H62" s="10"/>
      <c r="I62" s="7">
        <f>SUM(G62:H62)</f>
        <v>0</v>
      </c>
      <c r="J62" s="23"/>
      <c r="K62" s="5">
        <v>16</v>
      </c>
      <c r="L62" s="5">
        <v>4</v>
      </c>
      <c r="M62" s="7">
        <f>SUM(K62:L62)</f>
        <v>20</v>
      </c>
      <c r="N62" s="6">
        <f>261/15</f>
        <v>17.399999999999999</v>
      </c>
      <c r="O62" s="10">
        <v>14</v>
      </c>
      <c r="P62" s="10">
        <v>5</v>
      </c>
      <c r="Q62" s="7">
        <f>SUM(O62:P62)</f>
        <v>19</v>
      </c>
      <c r="R62" s="23">
        <v>14.6</v>
      </c>
      <c r="S62" s="5">
        <v>20</v>
      </c>
      <c r="T62" s="5">
        <v>1</v>
      </c>
      <c r="U62" s="7">
        <f>SUM(S62:T62)</f>
        <v>21</v>
      </c>
      <c r="V62" s="6">
        <f>310/15</f>
        <v>20.666666666666668</v>
      </c>
      <c r="W62" s="10">
        <v>13</v>
      </c>
      <c r="X62" s="10">
        <v>4</v>
      </c>
      <c r="Y62" s="7">
        <f>SUM(W62:X62)</f>
        <v>17</v>
      </c>
      <c r="Z62" s="23">
        <f>234/15</f>
        <v>15.6</v>
      </c>
      <c r="AA62" s="5">
        <v>25</v>
      </c>
      <c r="AB62" s="5">
        <v>3</v>
      </c>
      <c r="AC62" s="7">
        <f>SUM(AA62:AB62)</f>
        <v>28</v>
      </c>
      <c r="AD62" s="6">
        <f>409.5/15</f>
        <v>27.3</v>
      </c>
      <c r="AE62" s="10">
        <v>18</v>
      </c>
      <c r="AF62" s="10">
        <v>1</v>
      </c>
      <c r="AG62" s="7">
        <f>SUM(AE62:AF62)</f>
        <v>19</v>
      </c>
      <c r="AH62" s="23">
        <f>260.5/15</f>
        <v>17.366666666666667</v>
      </c>
      <c r="AI62" s="5">
        <v>24</v>
      </c>
      <c r="AJ62" s="5">
        <v>7</v>
      </c>
      <c r="AK62" s="7">
        <f>SUM(AI62:AJ62)</f>
        <v>31</v>
      </c>
      <c r="AL62" s="6">
        <f>413.5/15</f>
        <v>27.566666666666666</v>
      </c>
      <c r="AM62" s="10">
        <v>18</v>
      </c>
      <c r="AN62" s="10">
        <v>4</v>
      </c>
      <c r="AO62" s="7">
        <f>SUM(AM62:AN62)</f>
        <v>22</v>
      </c>
      <c r="AP62" s="23">
        <f>273/15</f>
        <v>18.2</v>
      </c>
      <c r="AQ62" s="5">
        <v>24</v>
      </c>
      <c r="AR62" s="5">
        <v>8</v>
      </c>
      <c r="AS62" s="7">
        <f>SUM(AQ62:AR62)</f>
        <v>32</v>
      </c>
      <c r="AT62" s="6">
        <f>391/15</f>
        <v>26.066666666666666</v>
      </c>
      <c r="AU62" s="10">
        <v>18</v>
      </c>
      <c r="AV62" s="10">
        <v>6</v>
      </c>
      <c r="AW62" s="7">
        <f>SUM(AU62:AV62)</f>
        <v>24</v>
      </c>
      <c r="AX62" s="23">
        <f>296.5/15</f>
        <v>19.766666666666666</v>
      </c>
      <c r="AY62" s="5">
        <v>23</v>
      </c>
      <c r="AZ62" s="5">
        <v>6</v>
      </c>
      <c r="BA62" s="7">
        <f>SUM(AY62:AZ62)</f>
        <v>29</v>
      </c>
      <c r="BB62" s="6">
        <f>377/15</f>
        <v>25.133333333333333</v>
      </c>
      <c r="BC62" s="10">
        <v>18</v>
      </c>
      <c r="BD62" s="10">
        <v>10</v>
      </c>
      <c r="BE62" s="7">
        <f>SUM(BC62:BD62)</f>
        <v>28</v>
      </c>
      <c r="BF62" s="23">
        <f>319/15</f>
        <v>21.266666666666666</v>
      </c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</row>
    <row r="63" spans="1:147" x14ac:dyDescent="0.2">
      <c r="A63" s="37" t="s">
        <v>84</v>
      </c>
      <c r="B63" s="8" t="s">
        <v>90</v>
      </c>
      <c r="C63" s="5">
        <v>75</v>
      </c>
      <c r="D63" s="5">
        <v>1</v>
      </c>
      <c r="E63" s="7">
        <f>SUM(C63:D63)</f>
        <v>76</v>
      </c>
      <c r="F63" s="6">
        <v>78.8</v>
      </c>
      <c r="G63" s="5"/>
      <c r="H63" s="5"/>
      <c r="I63" s="7">
        <f>SUM(G63:H63)</f>
        <v>0</v>
      </c>
      <c r="J63" s="23"/>
      <c r="K63" s="5">
        <v>78</v>
      </c>
      <c r="L63" s="5">
        <v>1</v>
      </c>
      <c r="M63" s="7">
        <f>SUM(K63:L63)</f>
        <v>79</v>
      </c>
      <c r="N63" s="6">
        <f>1270.5/15</f>
        <v>84.7</v>
      </c>
      <c r="O63" s="5">
        <v>75</v>
      </c>
      <c r="P63" s="5">
        <v>2</v>
      </c>
      <c r="Q63" s="7">
        <f>SUM(O63:P63)</f>
        <v>77</v>
      </c>
      <c r="R63" s="23">
        <v>77.5</v>
      </c>
      <c r="S63" s="5">
        <v>78</v>
      </c>
      <c r="T63" s="5">
        <v>2</v>
      </c>
      <c r="U63" s="7">
        <f>SUM(S63:T63)</f>
        <v>80</v>
      </c>
      <c r="V63" s="6">
        <f>1212/15</f>
        <v>80.8</v>
      </c>
      <c r="W63" s="5">
        <v>77</v>
      </c>
      <c r="X63" s="5">
        <v>1</v>
      </c>
      <c r="Y63" s="7">
        <f>SUM(W63:X63)</f>
        <v>78</v>
      </c>
      <c r="Z63" s="23">
        <f>1216/15</f>
        <v>81.066666666666663</v>
      </c>
      <c r="AA63" s="5">
        <v>81</v>
      </c>
      <c r="AB63" s="5">
        <v>4</v>
      </c>
      <c r="AC63" s="7">
        <f>SUM(AA63:AB63)</f>
        <v>85</v>
      </c>
      <c r="AD63" s="6">
        <f>1246.5/15</f>
        <v>83.1</v>
      </c>
      <c r="AE63" s="5">
        <v>78</v>
      </c>
      <c r="AF63" s="5">
        <v>6</v>
      </c>
      <c r="AG63" s="7">
        <f>SUM(AE63:AF63)</f>
        <v>84</v>
      </c>
      <c r="AH63" s="23">
        <f>1242.5/15</f>
        <v>82.833333333333329</v>
      </c>
      <c r="AI63" s="5">
        <v>85</v>
      </c>
      <c r="AJ63" s="5">
        <v>8</v>
      </c>
      <c r="AK63" s="7">
        <f>SUM(AI63:AJ63)</f>
        <v>93</v>
      </c>
      <c r="AL63" s="6">
        <f>1272.5/15</f>
        <v>84.833333333333329</v>
      </c>
      <c r="AM63" s="5">
        <v>79</v>
      </c>
      <c r="AN63" s="5">
        <v>4</v>
      </c>
      <c r="AO63" s="7">
        <f>SUM(AM63:AN63)</f>
        <v>83</v>
      </c>
      <c r="AP63" s="23">
        <f>1231.5/15</f>
        <v>82.1</v>
      </c>
      <c r="AQ63" s="5">
        <v>40</v>
      </c>
      <c r="AR63" s="5">
        <v>5</v>
      </c>
      <c r="AS63" s="7">
        <f>SUM(AQ63:AR63)</f>
        <v>45</v>
      </c>
      <c r="AT63" s="6">
        <f>572.5/15</f>
        <v>38.166666666666664</v>
      </c>
      <c r="AU63" s="5">
        <v>52</v>
      </c>
      <c r="AV63" s="5">
        <v>5</v>
      </c>
      <c r="AW63" s="7">
        <f>SUM(AU63:AV63)</f>
        <v>57</v>
      </c>
      <c r="AX63" s="23">
        <f>786/15</f>
        <v>52.4</v>
      </c>
      <c r="AY63" s="5">
        <v>23</v>
      </c>
      <c r="AZ63" s="5">
        <v>1</v>
      </c>
      <c r="BA63" s="7">
        <f>SUM(AY63:AZ63)</f>
        <v>24</v>
      </c>
      <c r="BB63" s="6">
        <f>352/15</f>
        <v>23.466666666666665</v>
      </c>
      <c r="BC63" s="5">
        <v>29</v>
      </c>
      <c r="BD63" s="5">
        <v>1</v>
      </c>
      <c r="BE63" s="7">
        <f>SUM(BC63:BD63)</f>
        <v>30</v>
      </c>
      <c r="BF63" s="23">
        <f>394.5/15</f>
        <v>26.3</v>
      </c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</row>
    <row r="64" spans="1:147" x14ac:dyDescent="0.2">
      <c r="A64" s="36" t="s">
        <v>85</v>
      </c>
      <c r="B64" s="8" t="s">
        <v>91</v>
      </c>
      <c r="C64" s="2">
        <v>46</v>
      </c>
      <c r="D64" s="2">
        <v>9</v>
      </c>
      <c r="E64" s="3">
        <f>SUM(C64:D64)</f>
        <v>55</v>
      </c>
      <c r="F64" s="6">
        <v>50.5</v>
      </c>
      <c r="G64" s="28"/>
      <c r="H64" s="28"/>
      <c r="I64" s="3">
        <f>SUM(G64:H64)</f>
        <v>0</v>
      </c>
      <c r="J64" s="23"/>
      <c r="K64" s="2">
        <v>33</v>
      </c>
      <c r="L64" s="2">
        <v>5</v>
      </c>
      <c r="M64" s="3">
        <f>SUM(K64:L64)</f>
        <v>38</v>
      </c>
      <c r="N64" s="6">
        <f>521/15</f>
        <v>34.733333333333334</v>
      </c>
      <c r="O64" s="28">
        <v>31</v>
      </c>
      <c r="P64" s="28">
        <v>4</v>
      </c>
      <c r="Q64" s="3">
        <f>SUM(O64:P64)</f>
        <v>35</v>
      </c>
      <c r="R64" s="23">
        <v>32.1</v>
      </c>
      <c r="S64" s="2">
        <v>35</v>
      </c>
      <c r="T64" s="2">
        <v>5</v>
      </c>
      <c r="U64" s="3">
        <f>SUM(S64:T64)</f>
        <v>40</v>
      </c>
      <c r="V64" s="6">
        <f>548.5/15</f>
        <v>36.56666666666667</v>
      </c>
      <c r="W64" s="28">
        <v>30</v>
      </c>
      <c r="X64" s="28">
        <v>5</v>
      </c>
      <c r="Y64" s="3">
        <f>SUM(W64:X64)</f>
        <v>35</v>
      </c>
      <c r="Z64" s="23">
        <f>462/15</f>
        <v>30.8</v>
      </c>
      <c r="AA64" s="2">
        <v>35</v>
      </c>
      <c r="AB64" s="2">
        <v>11</v>
      </c>
      <c r="AC64" s="3">
        <f>SUM(AA64:AB64)</f>
        <v>46</v>
      </c>
      <c r="AD64" s="6">
        <f>608/15</f>
        <v>40.533333333333331</v>
      </c>
      <c r="AE64" s="28">
        <v>32</v>
      </c>
      <c r="AF64" s="28">
        <v>5</v>
      </c>
      <c r="AG64" s="3">
        <f>SUM(AE64:AF64)</f>
        <v>37</v>
      </c>
      <c r="AH64" s="23">
        <f>505.5/15</f>
        <v>33.700000000000003</v>
      </c>
      <c r="AI64" s="2">
        <v>47</v>
      </c>
      <c r="AJ64" s="2">
        <v>7</v>
      </c>
      <c r="AK64" s="3">
        <f>SUM(AI64:AJ64)</f>
        <v>54</v>
      </c>
      <c r="AL64" s="6">
        <f>740.5/15</f>
        <v>49.366666666666667</v>
      </c>
      <c r="AM64" s="28">
        <v>40</v>
      </c>
      <c r="AN64" s="28">
        <v>6</v>
      </c>
      <c r="AO64" s="3">
        <f>SUM(AM64:AN64)</f>
        <v>46</v>
      </c>
      <c r="AP64" s="23">
        <f>633/15</f>
        <v>42.2</v>
      </c>
      <c r="AQ64" s="2">
        <v>49</v>
      </c>
      <c r="AR64" s="2">
        <v>12</v>
      </c>
      <c r="AS64" s="3">
        <f>SUM(AQ64:AR64)</f>
        <v>61</v>
      </c>
      <c r="AT64" s="6">
        <f>851/15</f>
        <v>56.733333333333334</v>
      </c>
      <c r="AU64" s="28">
        <v>40</v>
      </c>
      <c r="AV64" s="28">
        <v>11</v>
      </c>
      <c r="AW64" s="3">
        <f>SUM(AU64:AV64)</f>
        <v>51</v>
      </c>
      <c r="AX64" s="23">
        <f>(647.5+1)/15</f>
        <v>43.233333333333334</v>
      </c>
      <c r="AY64" s="2">
        <v>74</v>
      </c>
      <c r="AZ64" s="2">
        <v>16</v>
      </c>
      <c r="BA64" s="3">
        <f>SUM(AY64:AZ64)</f>
        <v>90</v>
      </c>
      <c r="BB64" s="6">
        <f>1164/15</f>
        <v>77.599999999999994</v>
      </c>
      <c r="BC64" s="28">
        <v>60</v>
      </c>
      <c r="BD64" s="28">
        <v>10</v>
      </c>
      <c r="BE64" s="3">
        <f>SUM(BC64:BD64)</f>
        <v>70</v>
      </c>
      <c r="BF64" s="23">
        <f>945/15</f>
        <v>63</v>
      </c>
    </row>
    <row r="65" spans="1:147" s="8" customFormat="1" x14ac:dyDescent="0.2">
      <c r="A65" s="36" t="s">
        <v>86</v>
      </c>
      <c r="B65" s="8" t="s">
        <v>92</v>
      </c>
      <c r="C65" s="2">
        <v>49</v>
      </c>
      <c r="D65" s="2">
        <v>10</v>
      </c>
      <c r="E65" s="3">
        <f>SUM(C65:D65)</f>
        <v>59</v>
      </c>
      <c r="F65" s="6">
        <v>54.6</v>
      </c>
      <c r="G65" s="28"/>
      <c r="H65" s="28"/>
      <c r="I65" s="3">
        <f>SUM(G65:H65)</f>
        <v>0</v>
      </c>
      <c r="J65" s="23"/>
      <c r="K65" s="2">
        <v>55</v>
      </c>
      <c r="L65" s="2">
        <v>6</v>
      </c>
      <c r="M65" s="3">
        <f>SUM(K65:L65)</f>
        <v>61</v>
      </c>
      <c r="N65" s="6">
        <f>869/15</f>
        <v>57.93333333333333</v>
      </c>
      <c r="O65" s="28">
        <v>43</v>
      </c>
      <c r="P65" s="28">
        <v>9</v>
      </c>
      <c r="Q65" s="3">
        <f>SUM(O65:P65)</f>
        <v>52</v>
      </c>
      <c r="R65" s="23">
        <v>46.2</v>
      </c>
      <c r="S65" s="2">
        <v>74</v>
      </c>
      <c r="T65" s="2">
        <v>12</v>
      </c>
      <c r="U65" s="3">
        <f>SUM(S65:T65)</f>
        <v>86</v>
      </c>
      <c r="V65" s="6">
        <f>1186/15</f>
        <v>79.066666666666663</v>
      </c>
      <c r="W65" s="28">
        <v>66</v>
      </c>
      <c r="X65" s="28">
        <v>8</v>
      </c>
      <c r="Y65" s="3">
        <f>SUM(W65:X65)</f>
        <v>74</v>
      </c>
      <c r="Z65" s="23">
        <f>1040.5/15</f>
        <v>69.36666666666666</v>
      </c>
      <c r="AA65" s="2">
        <v>64</v>
      </c>
      <c r="AB65" s="2">
        <v>7</v>
      </c>
      <c r="AC65" s="3">
        <f>SUM(AA65:AB65)</f>
        <v>71</v>
      </c>
      <c r="AD65" s="6">
        <f>1011.5/15</f>
        <v>67.433333333333337</v>
      </c>
      <c r="AE65" s="28">
        <v>55</v>
      </c>
      <c r="AF65" s="28">
        <v>10</v>
      </c>
      <c r="AG65" s="3">
        <f>SUM(AE65:AF65)</f>
        <v>65</v>
      </c>
      <c r="AH65" s="23">
        <f>870/15</f>
        <v>58</v>
      </c>
      <c r="AI65" s="2">
        <v>83</v>
      </c>
      <c r="AJ65" s="2">
        <v>13</v>
      </c>
      <c r="AK65" s="3">
        <f>SUM(AI65:AJ65)</f>
        <v>96</v>
      </c>
      <c r="AL65" s="6">
        <f>(418+915.5)/15</f>
        <v>88.9</v>
      </c>
      <c r="AM65" s="28">
        <v>68</v>
      </c>
      <c r="AN65" s="28">
        <v>10</v>
      </c>
      <c r="AO65" s="3">
        <f>SUM(AM65:AN65)</f>
        <v>78</v>
      </c>
      <c r="AP65" s="23">
        <f>1052/15</f>
        <v>70.13333333333334</v>
      </c>
      <c r="AQ65" s="2">
        <v>90</v>
      </c>
      <c r="AR65" s="2">
        <v>17</v>
      </c>
      <c r="AS65" s="3">
        <f>SUM(AQ65:AR65)</f>
        <v>107</v>
      </c>
      <c r="AT65" s="6">
        <f>1480/15</f>
        <v>98.666666666666671</v>
      </c>
      <c r="AU65" s="28">
        <v>78</v>
      </c>
      <c r="AV65" s="28">
        <v>15</v>
      </c>
      <c r="AW65" s="3">
        <f>SUM(AU65:AV65)</f>
        <v>93</v>
      </c>
      <c r="AX65" s="23">
        <f>(298+970)/15</f>
        <v>84.533333333333331</v>
      </c>
      <c r="AY65" s="2">
        <v>108</v>
      </c>
      <c r="AZ65" s="2">
        <v>27</v>
      </c>
      <c r="BA65" s="3">
        <f>SUM(AY65:AZ65)</f>
        <v>135</v>
      </c>
      <c r="BB65" s="6">
        <f>1805/15</f>
        <v>120.33333333333333</v>
      </c>
      <c r="BC65" s="28">
        <v>93</v>
      </c>
      <c r="BD65" s="28">
        <v>21</v>
      </c>
      <c r="BE65" s="3">
        <f>SUM(BC65:BD65)</f>
        <v>114</v>
      </c>
      <c r="BF65" s="23">
        <f>1486/15</f>
        <v>99.066666666666663</v>
      </c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</row>
    <row r="66" spans="1:147" s="8" customFormat="1" x14ac:dyDescent="0.2">
      <c r="A66" s="36" t="s">
        <v>239</v>
      </c>
      <c r="B66" s="8" t="s">
        <v>93</v>
      </c>
      <c r="C66" s="28">
        <v>44</v>
      </c>
      <c r="D66" s="28">
        <v>4</v>
      </c>
      <c r="E66" s="3">
        <f>SUM(C66:D66)</f>
        <v>48</v>
      </c>
      <c r="F66" s="41">
        <v>47.3</v>
      </c>
      <c r="G66" s="10"/>
      <c r="H66" s="10"/>
      <c r="I66" s="3">
        <f>SUM(G66:H66)</f>
        <v>0</v>
      </c>
      <c r="J66" s="25"/>
      <c r="K66" s="28">
        <v>24</v>
      </c>
      <c r="L66" s="28">
        <v>5</v>
      </c>
      <c r="M66" s="3">
        <f>SUM(K66:L66)</f>
        <v>29</v>
      </c>
      <c r="N66" s="41">
        <f>380.5/15</f>
        <v>25.366666666666667</v>
      </c>
      <c r="O66" s="10">
        <v>30</v>
      </c>
      <c r="P66" s="10">
        <v>7</v>
      </c>
      <c r="Q66" s="3">
        <f>SUM(O66:P66)</f>
        <v>37</v>
      </c>
      <c r="R66" s="25">
        <v>35.200000000000003</v>
      </c>
      <c r="S66" s="32"/>
      <c r="T66" s="32"/>
      <c r="U66" s="34"/>
      <c r="V66" s="31"/>
      <c r="W66" s="29"/>
      <c r="X66" s="29"/>
      <c r="Y66" s="34"/>
      <c r="Z66" s="33"/>
      <c r="AA66" s="32"/>
      <c r="AB66" s="32"/>
      <c r="AC66" s="34"/>
      <c r="AD66" s="31"/>
      <c r="AE66" s="29"/>
      <c r="AF66" s="29"/>
      <c r="AG66" s="34"/>
      <c r="AH66" s="33"/>
      <c r="AI66" s="32"/>
      <c r="AJ66" s="32"/>
      <c r="AK66" s="34"/>
      <c r="AL66" s="31"/>
      <c r="AM66" s="29"/>
      <c r="AN66" s="29"/>
      <c r="AO66" s="34"/>
      <c r="AP66" s="33"/>
      <c r="AQ66" s="2">
        <v>0</v>
      </c>
      <c r="AR66" s="2">
        <v>2</v>
      </c>
      <c r="AS66" s="3">
        <f>SUM(AQ66:AR66)</f>
        <v>2</v>
      </c>
      <c r="AT66" s="6">
        <f>12/15</f>
        <v>0.8</v>
      </c>
      <c r="AU66" s="10">
        <v>0</v>
      </c>
      <c r="AV66" s="10">
        <v>1</v>
      </c>
      <c r="AW66" s="3">
        <f>SUM(AU66:AV66)</f>
        <v>1</v>
      </c>
      <c r="AX66" s="23">
        <f>3/15</f>
        <v>0.2</v>
      </c>
      <c r="AY66" s="2">
        <v>9</v>
      </c>
      <c r="AZ66" s="2">
        <v>3</v>
      </c>
      <c r="BA66" s="3">
        <f>SUM(AY66:AZ66)</f>
        <v>12</v>
      </c>
      <c r="BB66" s="6">
        <f>142/15</f>
        <v>9.4666666666666668</v>
      </c>
      <c r="BC66" s="10">
        <v>4</v>
      </c>
      <c r="BD66" s="10">
        <v>1</v>
      </c>
      <c r="BE66" s="3">
        <f>SUM(BC66:BD66)</f>
        <v>5</v>
      </c>
      <c r="BF66" s="23">
        <f>76/15</f>
        <v>5.0666666666666664</v>
      </c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</row>
    <row r="67" spans="1:147" x14ac:dyDescent="0.2">
      <c r="B67" s="27" t="s">
        <v>7</v>
      </c>
      <c r="C67" s="43">
        <f t="shared" ref="C67:AH67" si="43">SUM(C62:C66)</f>
        <v>228</v>
      </c>
      <c r="D67" s="43">
        <f t="shared" si="43"/>
        <v>31</v>
      </c>
      <c r="E67" s="45">
        <f t="shared" si="43"/>
        <v>259</v>
      </c>
      <c r="F67" s="39">
        <f t="shared" si="43"/>
        <v>249.8</v>
      </c>
      <c r="G67" s="43">
        <f t="shared" si="43"/>
        <v>0</v>
      </c>
      <c r="H67" s="43">
        <f t="shared" si="43"/>
        <v>0</v>
      </c>
      <c r="I67" s="45">
        <f t="shared" si="43"/>
        <v>0</v>
      </c>
      <c r="J67" s="39">
        <f t="shared" si="43"/>
        <v>0</v>
      </c>
      <c r="K67" s="43">
        <f t="shared" si="43"/>
        <v>206</v>
      </c>
      <c r="L67" s="43">
        <f t="shared" si="43"/>
        <v>21</v>
      </c>
      <c r="M67" s="45">
        <f t="shared" si="43"/>
        <v>227</v>
      </c>
      <c r="N67" s="39">
        <f t="shared" si="43"/>
        <v>220.13333333333333</v>
      </c>
      <c r="O67" s="43">
        <f t="shared" si="43"/>
        <v>193</v>
      </c>
      <c r="P67" s="43">
        <f t="shared" si="43"/>
        <v>27</v>
      </c>
      <c r="Q67" s="45">
        <f t="shared" si="43"/>
        <v>220</v>
      </c>
      <c r="R67" s="39">
        <f t="shared" si="43"/>
        <v>205.59999999999997</v>
      </c>
      <c r="S67" s="43">
        <f t="shared" si="43"/>
        <v>207</v>
      </c>
      <c r="T67" s="43">
        <f t="shared" si="43"/>
        <v>20</v>
      </c>
      <c r="U67" s="45">
        <f t="shared" si="43"/>
        <v>227</v>
      </c>
      <c r="V67" s="39">
        <f t="shared" si="43"/>
        <v>217.1</v>
      </c>
      <c r="W67" s="43">
        <f t="shared" si="43"/>
        <v>186</v>
      </c>
      <c r="X67" s="43">
        <f t="shared" si="43"/>
        <v>18</v>
      </c>
      <c r="Y67" s="45">
        <f t="shared" si="43"/>
        <v>204</v>
      </c>
      <c r="Z67" s="39">
        <f t="shared" si="43"/>
        <v>196.83333333333331</v>
      </c>
      <c r="AA67" s="43">
        <f t="shared" si="43"/>
        <v>205</v>
      </c>
      <c r="AB67" s="43">
        <f t="shared" si="43"/>
        <v>25</v>
      </c>
      <c r="AC67" s="45">
        <f t="shared" si="43"/>
        <v>230</v>
      </c>
      <c r="AD67" s="39">
        <f t="shared" si="43"/>
        <v>218.36666666666667</v>
      </c>
      <c r="AE67" s="43">
        <f t="shared" si="43"/>
        <v>183</v>
      </c>
      <c r="AF67" s="43">
        <f t="shared" si="43"/>
        <v>22</v>
      </c>
      <c r="AG67" s="45">
        <f t="shared" si="43"/>
        <v>205</v>
      </c>
      <c r="AH67" s="39">
        <f t="shared" si="43"/>
        <v>191.89999999999998</v>
      </c>
      <c r="AI67" s="43">
        <f t="shared" ref="AI67:BF67" si="44">SUM(AI62:AI66)</f>
        <v>239</v>
      </c>
      <c r="AJ67" s="43">
        <f t="shared" si="44"/>
        <v>35</v>
      </c>
      <c r="AK67" s="45">
        <f t="shared" si="44"/>
        <v>274</v>
      </c>
      <c r="AL67" s="39">
        <f t="shared" si="44"/>
        <v>250.66666666666666</v>
      </c>
      <c r="AM67" s="43">
        <f t="shared" si="44"/>
        <v>205</v>
      </c>
      <c r="AN67" s="43">
        <f t="shared" si="44"/>
        <v>24</v>
      </c>
      <c r="AO67" s="45">
        <f t="shared" si="44"/>
        <v>229</v>
      </c>
      <c r="AP67" s="39">
        <f t="shared" si="44"/>
        <v>212.63333333333333</v>
      </c>
      <c r="AQ67" s="43">
        <f t="shared" si="44"/>
        <v>203</v>
      </c>
      <c r="AR67" s="43">
        <f t="shared" si="44"/>
        <v>44</v>
      </c>
      <c r="AS67" s="45">
        <f t="shared" si="44"/>
        <v>247</v>
      </c>
      <c r="AT67" s="39">
        <f t="shared" si="44"/>
        <v>220.43333333333334</v>
      </c>
      <c r="AU67" s="43">
        <f t="shared" si="44"/>
        <v>188</v>
      </c>
      <c r="AV67" s="43">
        <f t="shared" si="44"/>
        <v>38</v>
      </c>
      <c r="AW67" s="45">
        <f t="shared" si="44"/>
        <v>226</v>
      </c>
      <c r="AX67" s="39">
        <f t="shared" si="44"/>
        <v>200.13333333333333</v>
      </c>
      <c r="AY67" s="43">
        <f t="shared" si="44"/>
        <v>237</v>
      </c>
      <c r="AZ67" s="43">
        <f t="shared" si="44"/>
        <v>53</v>
      </c>
      <c r="BA67" s="45">
        <f t="shared" si="44"/>
        <v>290</v>
      </c>
      <c r="BB67" s="39">
        <f t="shared" si="44"/>
        <v>255.99999999999997</v>
      </c>
      <c r="BC67" s="43">
        <f t="shared" si="44"/>
        <v>204</v>
      </c>
      <c r="BD67" s="43">
        <f t="shared" si="44"/>
        <v>43</v>
      </c>
      <c r="BE67" s="45">
        <f t="shared" si="44"/>
        <v>247</v>
      </c>
      <c r="BF67" s="39">
        <f t="shared" si="44"/>
        <v>214.7</v>
      </c>
    </row>
    <row r="68" spans="1:147" x14ac:dyDescent="0.2">
      <c r="B68" s="8"/>
      <c r="C68" s="20"/>
      <c r="D68" s="20"/>
      <c r="E68" s="15"/>
      <c r="G68" s="20"/>
      <c r="H68" s="20"/>
      <c r="I68" s="26" t="s">
        <v>8</v>
      </c>
      <c r="J68" s="6">
        <f>(F67+J67)/2</f>
        <v>124.9</v>
      </c>
      <c r="K68" s="20"/>
      <c r="L68" s="20"/>
      <c r="M68" s="15"/>
      <c r="O68" s="20"/>
      <c r="P68" s="20"/>
      <c r="Q68" s="26" t="s">
        <v>8</v>
      </c>
      <c r="R68" s="6">
        <f>(N67+R67)/2</f>
        <v>212.86666666666665</v>
      </c>
      <c r="S68" s="20"/>
      <c r="T68" s="20"/>
      <c r="U68" s="15"/>
      <c r="W68" s="20"/>
      <c r="X68" s="20"/>
      <c r="Y68" s="26" t="s">
        <v>8</v>
      </c>
      <c r="Z68" s="6">
        <f>(V67+Z67)/2</f>
        <v>206.96666666666664</v>
      </c>
      <c r="AA68" s="20"/>
      <c r="AB68" s="20"/>
      <c r="AC68" s="15"/>
      <c r="AE68" s="20"/>
      <c r="AF68" s="20"/>
      <c r="AG68" s="26" t="s">
        <v>8</v>
      </c>
      <c r="AH68" s="6">
        <f>(AD67+AH67)/2</f>
        <v>205.13333333333333</v>
      </c>
      <c r="AI68" s="20"/>
      <c r="AJ68" s="20"/>
      <c r="AK68" s="15"/>
      <c r="AM68" s="20"/>
      <c r="AN68" s="20"/>
      <c r="AO68" s="26" t="s">
        <v>8</v>
      </c>
      <c r="AP68" s="6">
        <f>(AL67+AP67)/2</f>
        <v>231.64999999999998</v>
      </c>
      <c r="AQ68" s="20"/>
      <c r="AR68" s="20"/>
      <c r="AS68" s="15"/>
      <c r="AU68" s="20"/>
      <c r="AV68" s="20"/>
      <c r="AW68" s="26" t="s">
        <v>8</v>
      </c>
      <c r="AX68" s="6">
        <f>(AT67+AX67)/2</f>
        <v>210.28333333333333</v>
      </c>
      <c r="AY68" s="20"/>
      <c r="AZ68" s="20"/>
      <c r="BA68" s="15"/>
      <c r="BC68" s="20"/>
      <c r="BD68" s="20"/>
      <c r="BE68" s="26" t="s">
        <v>8</v>
      </c>
      <c r="BF68" s="6">
        <f>(BB67+BF67)/2</f>
        <v>235.34999999999997</v>
      </c>
    </row>
    <row r="69" spans="1:147" x14ac:dyDescent="0.2">
      <c r="B69" s="4"/>
      <c r="E69" s="7"/>
      <c r="G69" s="2"/>
      <c r="H69" s="2"/>
      <c r="I69" s="7"/>
      <c r="J69" s="6"/>
      <c r="M69" s="7"/>
      <c r="O69" s="2"/>
      <c r="P69" s="2"/>
      <c r="Q69" s="7"/>
      <c r="R69" s="6"/>
      <c r="U69" s="7"/>
      <c r="W69" s="2"/>
      <c r="X69" s="2"/>
      <c r="Y69" s="7"/>
      <c r="Z69" s="6"/>
      <c r="AC69" s="7"/>
      <c r="AE69" s="2"/>
      <c r="AF69" s="2"/>
      <c r="AG69" s="7"/>
      <c r="AH69" s="6"/>
      <c r="AK69" s="7"/>
      <c r="AM69" s="2"/>
      <c r="AN69" s="2"/>
      <c r="AO69" s="7"/>
      <c r="AP69" s="6"/>
      <c r="AS69" s="7"/>
      <c r="AU69" s="2"/>
      <c r="AV69" s="2"/>
      <c r="AW69" s="7"/>
      <c r="AX69" s="6"/>
      <c r="BA69" s="7"/>
      <c r="BC69" s="2"/>
      <c r="BD69" s="2"/>
      <c r="BE69" s="7"/>
      <c r="BF69" s="6"/>
    </row>
    <row r="70" spans="1:147" x14ac:dyDescent="0.2">
      <c r="B70" s="8"/>
      <c r="E70" s="3" t="s">
        <v>263</v>
      </c>
      <c r="F70" s="21"/>
      <c r="I70" s="3" t="s">
        <v>264</v>
      </c>
      <c r="J70" s="6"/>
      <c r="M70" s="3" t="s">
        <v>232</v>
      </c>
      <c r="N70" s="21"/>
      <c r="Q70" s="3" t="s">
        <v>233</v>
      </c>
      <c r="R70" s="6"/>
      <c r="U70" s="3" t="s">
        <v>225</v>
      </c>
      <c r="V70" s="21"/>
      <c r="Y70" s="3" t="s">
        <v>226</v>
      </c>
      <c r="Z70" s="6"/>
      <c r="AC70" s="3" t="s">
        <v>221</v>
      </c>
      <c r="AD70" s="21"/>
      <c r="AG70" s="3" t="s">
        <v>222</v>
      </c>
      <c r="AH70" s="6"/>
      <c r="AK70" s="3" t="s">
        <v>215</v>
      </c>
      <c r="AL70" s="21"/>
      <c r="AO70" s="3" t="s">
        <v>216</v>
      </c>
      <c r="AP70" s="6"/>
      <c r="AS70" s="3" t="s">
        <v>209</v>
      </c>
      <c r="AT70" s="21"/>
      <c r="AW70" s="3" t="s">
        <v>210</v>
      </c>
      <c r="AX70" s="6"/>
      <c r="BA70" s="3" t="s">
        <v>205</v>
      </c>
      <c r="BB70" s="21"/>
      <c r="BE70" s="3" t="s">
        <v>206</v>
      </c>
      <c r="BF70" s="6"/>
    </row>
    <row r="71" spans="1:147" x14ac:dyDescent="0.2">
      <c r="B71" s="4" t="s">
        <v>240</v>
      </c>
      <c r="C71" s="2" t="s">
        <v>0</v>
      </c>
      <c r="D71" s="2" t="s">
        <v>1</v>
      </c>
      <c r="E71" s="7" t="s">
        <v>5</v>
      </c>
      <c r="F71" s="6" t="s">
        <v>6</v>
      </c>
      <c r="G71" s="2" t="s">
        <v>0</v>
      </c>
      <c r="H71" s="2" t="s">
        <v>1</v>
      </c>
      <c r="I71" s="7" t="s">
        <v>5</v>
      </c>
      <c r="J71" s="6" t="s">
        <v>6</v>
      </c>
      <c r="K71" s="2" t="s">
        <v>0</v>
      </c>
      <c r="L71" s="2" t="s">
        <v>1</v>
      </c>
      <c r="M71" s="7" t="s">
        <v>5</v>
      </c>
      <c r="N71" s="6" t="s">
        <v>6</v>
      </c>
      <c r="O71" s="2" t="s">
        <v>0</v>
      </c>
      <c r="P71" s="2" t="s">
        <v>1</v>
      </c>
      <c r="Q71" s="7" t="s">
        <v>5</v>
      </c>
      <c r="R71" s="6" t="s">
        <v>6</v>
      </c>
      <c r="S71" s="2" t="s">
        <v>0</v>
      </c>
      <c r="T71" s="2" t="s">
        <v>1</v>
      </c>
      <c r="U71" s="7" t="s">
        <v>5</v>
      </c>
      <c r="V71" s="6" t="s">
        <v>6</v>
      </c>
      <c r="W71" s="2" t="s">
        <v>0</v>
      </c>
      <c r="X71" s="2" t="s">
        <v>1</v>
      </c>
      <c r="Y71" s="7" t="s">
        <v>5</v>
      </c>
      <c r="Z71" s="6" t="s">
        <v>6</v>
      </c>
      <c r="AA71" s="2" t="s">
        <v>0</v>
      </c>
      <c r="AB71" s="2" t="s">
        <v>1</v>
      </c>
      <c r="AC71" s="7" t="s">
        <v>5</v>
      </c>
      <c r="AD71" s="6" t="s">
        <v>6</v>
      </c>
      <c r="AE71" s="2" t="s">
        <v>0</v>
      </c>
      <c r="AF71" s="2" t="s">
        <v>1</v>
      </c>
      <c r="AG71" s="7" t="s">
        <v>5</v>
      </c>
      <c r="AH71" s="6" t="s">
        <v>6</v>
      </c>
      <c r="AI71" s="2" t="s">
        <v>0</v>
      </c>
      <c r="AJ71" s="2" t="s">
        <v>1</v>
      </c>
      <c r="AK71" s="7" t="s">
        <v>5</v>
      </c>
      <c r="AL71" s="6" t="s">
        <v>6</v>
      </c>
      <c r="AM71" s="2" t="s">
        <v>0</v>
      </c>
      <c r="AN71" s="2" t="s">
        <v>1</v>
      </c>
      <c r="AO71" s="7" t="s">
        <v>5</v>
      </c>
      <c r="AP71" s="6" t="s">
        <v>6</v>
      </c>
      <c r="AQ71" s="2" t="s">
        <v>0</v>
      </c>
      <c r="AR71" s="2" t="s">
        <v>1</v>
      </c>
      <c r="AS71" s="7" t="s">
        <v>5</v>
      </c>
      <c r="AT71" s="6" t="s">
        <v>6</v>
      </c>
      <c r="AU71" s="2" t="s">
        <v>0</v>
      </c>
      <c r="AV71" s="2" t="s">
        <v>1</v>
      </c>
      <c r="AW71" s="7" t="s">
        <v>5</v>
      </c>
      <c r="AX71" s="6" t="s">
        <v>6</v>
      </c>
      <c r="AY71" s="2" t="s">
        <v>0</v>
      </c>
      <c r="AZ71" s="2" t="s">
        <v>1</v>
      </c>
      <c r="BA71" s="7" t="s">
        <v>5</v>
      </c>
      <c r="BB71" s="6" t="s">
        <v>6</v>
      </c>
      <c r="BC71" s="2" t="s">
        <v>0</v>
      </c>
      <c r="BD71" s="2" t="s">
        <v>1</v>
      </c>
      <c r="BE71" s="7" t="s">
        <v>5</v>
      </c>
      <c r="BF71" s="6" t="s">
        <v>6</v>
      </c>
    </row>
    <row r="72" spans="1:147" x14ac:dyDescent="0.2">
      <c r="A72" s="36" t="s">
        <v>96</v>
      </c>
      <c r="B72" s="8" t="s">
        <v>116</v>
      </c>
      <c r="C72" s="5">
        <v>1</v>
      </c>
      <c r="D72" s="5">
        <v>0</v>
      </c>
      <c r="E72" s="3">
        <f>SUM(C72:D72)</f>
        <v>1</v>
      </c>
      <c r="F72" s="6">
        <v>1</v>
      </c>
      <c r="G72" s="10"/>
      <c r="H72" s="10"/>
      <c r="I72" s="3">
        <f>SUM(G72:H72)</f>
        <v>0</v>
      </c>
      <c r="J72" s="6"/>
      <c r="K72" s="5">
        <v>4</v>
      </c>
      <c r="L72" s="5">
        <v>3</v>
      </c>
      <c r="M72" s="3">
        <f>SUM(K72:L72)</f>
        <v>7</v>
      </c>
      <c r="N72" s="6">
        <f>67.5/15</f>
        <v>4.5</v>
      </c>
      <c r="O72" s="10">
        <v>3</v>
      </c>
      <c r="P72" s="10">
        <v>4</v>
      </c>
      <c r="Q72" s="3">
        <f>SUM(O72:P72)</f>
        <v>7</v>
      </c>
      <c r="R72" s="6">
        <v>4.5999999999999996</v>
      </c>
      <c r="S72" s="5">
        <v>5</v>
      </c>
      <c r="T72" s="5">
        <v>3</v>
      </c>
      <c r="U72" s="3">
        <f>SUM(S72:T72)</f>
        <v>8</v>
      </c>
      <c r="V72" s="6">
        <f>88/15</f>
        <v>5.8666666666666663</v>
      </c>
      <c r="W72" s="10">
        <v>4</v>
      </c>
      <c r="X72" s="10">
        <v>4</v>
      </c>
      <c r="Y72" s="3">
        <f>SUM(W72:X72)</f>
        <v>8</v>
      </c>
      <c r="Z72" s="6">
        <f>83.5/15</f>
        <v>5.5666666666666664</v>
      </c>
      <c r="AA72" s="5">
        <v>8</v>
      </c>
      <c r="AB72" s="5">
        <v>11</v>
      </c>
      <c r="AC72" s="3">
        <f>SUM(AA72:AB72)</f>
        <v>19</v>
      </c>
      <c r="AD72" s="6">
        <f>164/15</f>
        <v>10.933333333333334</v>
      </c>
      <c r="AE72" s="10">
        <v>3</v>
      </c>
      <c r="AF72" s="10">
        <v>10</v>
      </c>
      <c r="AG72" s="3">
        <f>SUM(AE72:AF72)</f>
        <v>13</v>
      </c>
      <c r="AH72" s="21">
        <f>110/15</f>
        <v>7.333333333333333</v>
      </c>
      <c r="AI72" s="5">
        <v>7</v>
      </c>
      <c r="AJ72" s="5">
        <v>13</v>
      </c>
      <c r="AK72" s="3">
        <f t="shared" ref="AK72:AK81" si="45">SUM(AI72:AJ72)</f>
        <v>20</v>
      </c>
      <c r="AL72" s="6">
        <f>155.5/15</f>
        <v>10.366666666666667</v>
      </c>
      <c r="AM72" s="10">
        <v>4</v>
      </c>
      <c r="AN72" s="10">
        <v>10</v>
      </c>
      <c r="AO72" s="3">
        <f t="shared" ref="AO72:AO81" si="46">SUM(AM72:AN72)</f>
        <v>14</v>
      </c>
      <c r="AP72" s="23">
        <f>126.5/15</f>
        <v>8.4333333333333336</v>
      </c>
      <c r="AQ72" s="5">
        <v>19</v>
      </c>
      <c r="AR72" s="5">
        <v>21</v>
      </c>
      <c r="AS72" s="3">
        <f>SUM(AQ72:AR72)</f>
        <v>40</v>
      </c>
      <c r="AT72" s="6">
        <f>377.5/15</f>
        <v>25.166666666666668</v>
      </c>
      <c r="AU72" s="10">
        <v>24</v>
      </c>
      <c r="AV72" s="10">
        <v>13</v>
      </c>
      <c r="AW72" s="3">
        <f>SUM(AU72:AV72)</f>
        <v>37</v>
      </c>
      <c r="AX72" s="23">
        <f>432/15</f>
        <v>28.8</v>
      </c>
      <c r="AY72" s="5">
        <v>22</v>
      </c>
      <c r="AZ72" s="5">
        <v>9</v>
      </c>
      <c r="BA72" s="3">
        <f>SUM(AY72:AZ72)</f>
        <v>31</v>
      </c>
      <c r="BB72" s="6">
        <f>343.5/15</f>
        <v>22.9</v>
      </c>
      <c r="BC72" s="10">
        <v>28</v>
      </c>
      <c r="BD72" s="10">
        <v>10</v>
      </c>
      <c r="BE72" s="3">
        <f>SUM(BC72:BD72)</f>
        <v>38</v>
      </c>
      <c r="BF72" s="23">
        <f>476/15</f>
        <v>31.733333333333334</v>
      </c>
    </row>
    <row r="73" spans="1:147" x14ac:dyDescent="0.2">
      <c r="A73" s="36" t="s">
        <v>100</v>
      </c>
      <c r="B73" s="8" t="s">
        <v>253</v>
      </c>
      <c r="C73" s="2">
        <v>4</v>
      </c>
      <c r="D73" s="2">
        <v>5</v>
      </c>
      <c r="E73" s="3">
        <f>SUM(C73:D73)</f>
        <v>9</v>
      </c>
      <c r="F73" s="6">
        <v>6.1</v>
      </c>
      <c r="G73" s="10"/>
      <c r="H73" s="10"/>
      <c r="I73" s="3">
        <f>SUM(G73:H73)</f>
        <v>0</v>
      </c>
      <c r="J73" s="23"/>
      <c r="K73" s="2">
        <v>0</v>
      </c>
      <c r="L73" s="2">
        <v>0</v>
      </c>
      <c r="M73" s="3">
        <f>SUM(K73:L73)</f>
        <v>0</v>
      </c>
      <c r="N73" s="6">
        <v>0</v>
      </c>
      <c r="O73" s="10">
        <v>0</v>
      </c>
      <c r="P73" s="10">
        <v>0</v>
      </c>
      <c r="Q73" s="3">
        <f>SUM(O73:P73)</f>
        <v>0</v>
      </c>
      <c r="R73" s="23">
        <v>0</v>
      </c>
      <c r="S73" s="32"/>
      <c r="T73" s="32"/>
      <c r="U73" s="34"/>
      <c r="V73" s="48"/>
      <c r="W73" s="32"/>
      <c r="X73" s="32"/>
      <c r="Y73" s="34"/>
      <c r="Z73" s="33"/>
      <c r="AA73" s="32"/>
      <c r="AB73" s="32"/>
      <c r="AC73" s="34"/>
      <c r="AD73" s="48"/>
      <c r="AE73" s="32"/>
      <c r="AF73" s="32"/>
      <c r="AG73" s="34"/>
      <c r="AH73" s="33"/>
      <c r="AI73" s="32"/>
      <c r="AJ73" s="32"/>
      <c r="AK73" s="34"/>
      <c r="AL73" s="48"/>
      <c r="AM73" s="32"/>
      <c r="AN73" s="32"/>
      <c r="AO73" s="34"/>
      <c r="AP73" s="33"/>
      <c r="AQ73" s="32"/>
      <c r="AR73" s="32"/>
      <c r="AS73" s="34"/>
      <c r="AT73" s="48"/>
      <c r="AU73" s="32"/>
      <c r="AV73" s="32"/>
      <c r="AW73" s="34"/>
      <c r="AX73" s="33"/>
      <c r="AY73" s="32"/>
      <c r="AZ73" s="32"/>
      <c r="BA73" s="34"/>
      <c r="BB73" s="48"/>
      <c r="BC73" s="32"/>
      <c r="BD73" s="32"/>
      <c r="BE73" s="34"/>
      <c r="BF73" s="33"/>
    </row>
    <row r="74" spans="1:147" x14ac:dyDescent="0.2">
      <c r="A74" s="36" t="s">
        <v>217</v>
      </c>
      <c r="B74" s="9" t="s">
        <v>218</v>
      </c>
      <c r="C74" s="2">
        <v>21</v>
      </c>
      <c r="D74" s="2">
        <v>21</v>
      </c>
      <c r="E74" s="3">
        <f>SUM(C74:D74)</f>
        <v>42</v>
      </c>
      <c r="F74" s="6">
        <v>34.1</v>
      </c>
      <c r="G74" s="10"/>
      <c r="H74" s="10"/>
      <c r="I74" s="3">
        <f>SUM(G74:H74)</f>
        <v>0</v>
      </c>
      <c r="J74" s="23"/>
      <c r="K74" s="2">
        <v>19</v>
      </c>
      <c r="L74" s="2">
        <v>23</v>
      </c>
      <c r="M74" s="3">
        <f>SUM(K74:L74)</f>
        <v>42</v>
      </c>
      <c r="N74" s="6">
        <f>497.5/15</f>
        <v>33.166666666666664</v>
      </c>
      <c r="O74" s="10">
        <v>28</v>
      </c>
      <c r="P74" s="10">
        <v>13</v>
      </c>
      <c r="Q74" s="3">
        <f>SUM(O74:P74)</f>
        <v>41</v>
      </c>
      <c r="R74" s="23">
        <v>35</v>
      </c>
      <c r="S74" s="2">
        <v>18</v>
      </c>
      <c r="T74" s="2">
        <v>18</v>
      </c>
      <c r="U74" s="3">
        <f>SUM(S74:T74)</f>
        <v>36</v>
      </c>
      <c r="V74" s="6">
        <f>428/15</f>
        <v>28.533333333333335</v>
      </c>
      <c r="W74" s="10">
        <v>26</v>
      </c>
      <c r="X74" s="10">
        <v>10</v>
      </c>
      <c r="Y74" s="3">
        <f>SUM(W74:X74)</f>
        <v>36</v>
      </c>
      <c r="Z74" s="23">
        <f>471/15</f>
        <v>31.4</v>
      </c>
      <c r="AA74" s="2">
        <v>14</v>
      </c>
      <c r="AB74" s="2">
        <v>25</v>
      </c>
      <c r="AC74" s="3">
        <f>SUM(AA74:AB74)</f>
        <v>39</v>
      </c>
      <c r="AD74" s="6">
        <f>448.5/15</f>
        <v>29.9</v>
      </c>
      <c r="AE74" s="10">
        <v>27</v>
      </c>
      <c r="AF74" s="10">
        <v>11</v>
      </c>
      <c r="AG74" s="3">
        <f>SUM(AE74:AF74)</f>
        <v>38</v>
      </c>
      <c r="AH74" s="23">
        <f>463/15</f>
        <v>30.866666666666667</v>
      </c>
      <c r="AI74" s="2">
        <v>13</v>
      </c>
      <c r="AJ74" s="2">
        <v>28</v>
      </c>
      <c r="AK74" s="3">
        <f t="shared" si="45"/>
        <v>41</v>
      </c>
      <c r="AL74" s="6">
        <f>427.5/15</f>
        <v>28.5</v>
      </c>
      <c r="AM74" s="10">
        <v>25</v>
      </c>
      <c r="AN74" s="10">
        <v>15</v>
      </c>
      <c r="AO74" s="3">
        <f t="shared" si="46"/>
        <v>40</v>
      </c>
      <c r="AP74" s="23">
        <f>491.5/15</f>
        <v>32.766666666666666</v>
      </c>
      <c r="AQ74" s="32"/>
      <c r="AR74" s="32"/>
      <c r="AS74" s="34"/>
      <c r="AT74" s="31"/>
      <c r="AU74" s="29"/>
      <c r="AV74" s="29"/>
      <c r="AW74" s="34"/>
      <c r="AX74" s="33"/>
      <c r="AY74" s="32"/>
      <c r="AZ74" s="32"/>
      <c r="BA74" s="34"/>
      <c r="BB74" s="31"/>
      <c r="BC74" s="29"/>
      <c r="BD74" s="29"/>
      <c r="BE74" s="34"/>
      <c r="BF74" s="33"/>
    </row>
    <row r="75" spans="1:147" hidden="1" x14ac:dyDescent="0.2">
      <c r="A75" s="36" t="s">
        <v>101</v>
      </c>
      <c r="B75" s="8" t="s">
        <v>120</v>
      </c>
      <c r="C75" s="32"/>
      <c r="D75" s="32"/>
      <c r="E75" s="34"/>
      <c r="F75" s="48"/>
      <c r="G75" s="32"/>
      <c r="H75" s="32"/>
      <c r="I75" s="34"/>
      <c r="J75" s="33"/>
      <c r="K75" s="32"/>
      <c r="L75" s="32"/>
      <c r="M75" s="34"/>
      <c r="N75" s="48"/>
      <c r="O75" s="32"/>
      <c r="P75" s="32"/>
      <c r="Q75" s="34"/>
      <c r="R75" s="33"/>
      <c r="S75" s="32"/>
      <c r="T75" s="32"/>
      <c r="U75" s="34"/>
      <c r="V75" s="48"/>
      <c r="W75" s="32"/>
      <c r="X75" s="32"/>
      <c r="Y75" s="34"/>
      <c r="Z75" s="33"/>
      <c r="AA75" s="32"/>
      <c r="AB75" s="32"/>
      <c r="AC75" s="34"/>
      <c r="AD75" s="48"/>
      <c r="AE75" s="32"/>
      <c r="AF75" s="32"/>
      <c r="AG75" s="34"/>
      <c r="AH75" s="33"/>
      <c r="AI75" s="2">
        <v>0</v>
      </c>
      <c r="AJ75" s="2">
        <v>3</v>
      </c>
      <c r="AK75" s="3">
        <f t="shared" si="45"/>
        <v>3</v>
      </c>
      <c r="AL75" s="6">
        <f>16.5/15</f>
        <v>1.1000000000000001</v>
      </c>
      <c r="AM75" s="10">
        <v>0</v>
      </c>
      <c r="AN75" s="10">
        <v>1</v>
      </c>
      <c r="AO75" s="3">
        <f t="shared" si="46"/>
        <v>1</v>
      </c>
      <c r="AP75" s="23">
        <f>7.5/15</f>
        <v>0.5</v>
      </c>
      <c r="AQ75" s="2">
        <v>143</v>
      </c>
      <c r="AR75" s="2">
        <v>55</v>
      </c>
      <c r="AS75" s="3">
        <f t="shared" ref="AS75:AS81" si="47">SUM(AQ75:AR75)</f>
        <v>198</v>
      </c>
      <c r="AT75" s="6">
        <f>2345.5/15</f>
        <v>156.36666666666667</v>
      </c>
      <c r="AU75" s="10">
        <v>97</v>
      </c>
      <c r="AV75" s="10">
        <v>71</v>
      </c>
      <c r="AW75" s="3">
        <f t="shared" ref="AW75:AW81" si="48">SUM(AU75:AV75)</f>
        <v>168</v>
      </c>
      <c r="AX75" s="23">
        <f>(1752.5+21.5)/15</f>
        <v>118.26666666666667</v>
      </c>
      <c r="AY75" s="2">
        <v>139</v>
      </c>
      <c r="AZ75" s="2">
        <v>45</v>
      </c>
      <c r="BA75" s="3">
        <f t="shared" ref="BA75:BA81" si="49">SUM(AY75:AZ75)</f>
        <v>184</v>
      </c>
      <c r="BB75" s="6">
        <f>2267.5/15</f>
        <v>151.16666666666666</v>
      </c>
      <c r="BC75" s="10">
        <v>118</v>
      </c>
      <c r="BD75" s="10">
        <v>47</v>
      </c>
      <c r="BE75" s="3">
        <f t="shared" ref="BE75:BE81" si="50">SUM(BC75:BD75)</f>
        <v>165</v>
      </c>
      <c r="BF75" s="23">
        <f>1919/15</f>
        <v>127.93333333333334</v>
      </c>
    </row>
    <row r="76" spans="1:147" x14ac:dyDescent="0.2">
      <c r="A76" s="36" t="s">
        <v>103</v>
      </c>
      <c r="B76" s="8" t="s">
        <v>122</v>
      </c>
      <c r="C76" s="10">
        <v>0</v>
      </c>
      <c r="D76" s="10">
        <v>0</v>
      </c>
      <c r="E76" s="3">
        <f t="shared" ref="E76:E81" si="51">SUM(C76:D76)</f>
        <v>0</v>
      </c>
      <c r="F76" s="6">
        <v>0</v>
      </c>
      <c r="G76" s="10"/>
      <c r="H76" s="10"/>
      <c r="I76" s="3">
        <f t="shared" ref="I76:I81" si="52">SUM(G76:H76)</f>
        <v>0</v>
      </c>
      <c r="J76" s="23"/>
      <c r="K76" s="10">
        <v>0</v>
      </c>
      <c r="L76" s="10">
        <v>0</v>
      </c>
      <c r="M76" s="3">
        <f t="shared" ref="M76:M81" si="53">SUM(K76:L76)</f>
        <v>0</v>
      </c>
      <c r="N76" s="6">
        <v>0</v>
      </c>
      <c r="O76" s="10">
        <v>0</v>
      </c>
      <c r="P76" s="10">
        <v>0</v>
      </c>
      <c r="Q76" s="3">
        <f t="shared" ref="Q76:Q81" si="54">SUM(O76:P76)</f>
        <v>0</v>
      </c>
      <c r="R76" s="23">
        <v>0</v>
      </c>
      <c r="S76" s="10">
        <v>0</v>
      </c>
      <c r="T76" s="10">
        <v>0</v>
      </c>
      <c r="U76" s="3">
        <f t="shared" ref="U76:U81" si="55">SUM(S76:T76)</f>
        <v>0</v>
      </c>
      <c r="V76" s="6">
        <v>0</v>
      </c>
      <c r="W76" s="10">
        <v>0</v>
      </c>
      <c r="X76" s="10">
        <v>0</v>
      </c>
      <c r="Y76" s="3">
        <f t="shared" ref="Y76:Y81" si="56">SUM(W76:X76)</f>
        <v>0</v>
      </c>
      <c r="Z76" s="23">
        <v>0</v>
      </c>
      <c r="AA76" s="10">
        <v>0</v>
      </c>
      <c r="AB76" s="10">
        <v>0</v>
      </c>
      <c r="AC76" s="3">
        <f t="shared" ref="AC76:AC81" si="57">SUM(AA76:AB76)</f>
        <v>0</v>
      </c>
      <c r="AD76" s="6">
        <v>0</v>
      </c>
      <c r="AE76" s="10">
        <v>0</v>
      </c>
      <c r="AF76" s="10">
        <v>0</v>
      </c>
      <c r="AG76" s="3">
        <f t="shared" ref="AG76:AG81" si="58">SUM(AE76:AF76)</f>
        <v>0</v>
      </c>
      <c r="AH76" s="23">
        <v>0</v>
      </c>
      <c r="AI76" s="10">
        <v>0</v>
      </c>
      <c r="AJ76" s="10">
        <v>0</v>
      </c>
      <c r="AK76" s="3">
        <f t="shared" si="45"/>
        <v>0</v>
      </c>
      <c r="AL76" s="6">
        <v>0</v>
      </c>
      <c r="AM76" s="10">
        <v>0</v>
      </c>
      <c r="AN76" s="10">
        <v>0</v>
      </c>
      <c r="AO76" s="3">
        <f t="shared" si="46"/>
        <v>0</v>
      </c>
      <c r="AP76" s="23">
        <v>0</v>
      </c>
      <c r="AQ76" s="10">
        <v>0</v>
      </c>
      <c r="AR76" s="10">
        <v>0</v>
      </c>
      <c r="AS76" s="3">
        <f t="shared" si="47"/>
        <v>0</v>
      </c>
      <c r="AT76" s="6">
        <v>0</v>
      </c>
      <c r="AU76" s="10">
        <v>0</v>
      </c>
      <c r="AV76" s="10">
        <v>0</v>
      </c>
      <c r="AW76" s="3">
        <f t="shared" si="48"/>
        <v>0</v>
      </c>
      <c r="AX76" s="23">
        <f>0/15</f>
        <v>0</v>
      </c>
      <c r="AY76" s="10">
        <v>0</v>
      </c>
      <c r="AZ76" s="10">
        <v>0</v>
      </c>
      <c r="BA76" s="3">
        <f t="shared" si="49"/>
        <v>0</v>
      </c>
      <c r="BB76" s="6">
        <v>0</v>
      </c>
      <c r="BC76" s="10">
        <v>0</v>
      </c>
      <c r="BD76" s="10">
        <v>0</v>
      </c>
      <c r="BE76" s="3">
        <f t="shared" si="50"/>
        <v>0</v>
      </c>
      <c r="BF76" s="23">
        <f>0/15</f>
        <v>0</v>
      </c>
    </row>
    <row r="77" spans="1:147" x14ac:dyDescent="0.2">
      <c r="A77" s="36" t="s">
        <v>109</v>
      </c>
      <c r="B77" s="8" t="s">
        <v>128</v>
      </c>
      <c r="C77" s="5">
        <v>0</v>
      </c>
      <c r="D77" s="5">
        <v>0</v>
      </c>
      <c r="E77" s="3">
        <f t="shared" si="51"/>
        <v>0</v>
      </c>
      <c r="F77" s="6">
        <v>0</v>
      </c>
      <c r="G77" s="10"/>
      <c r="H77" s="10"/>
      <c r="I77" s="3">
        <f t="shared" si="52"/>
        <v>0</v>
      </c>
      <c r="J77" s="23"/>
      <c r="K77" s="5">
        <v>1</v>
      </c>
      <c r="L77" s="5">
        <v>1</v>
      </c>
      <c r="M77" s="3">
        <f t="shared" si="53"/>
        <v>2</v>
      </c>
      <c r="N77" s="6">
        <f>21/15</f>
        <v>1.4</v>
      </c>
      <c r="O77" s="10">
        <v>2</v>
      </c>
      <c r="P77" s="10">
        <v>2</v>
      </c>
      <c r="Q77" s="3">
        <f t="shared" si="54"/>
        <v>4</v>
      </c>
      <c r="R77" s="23">
        <v>2.2999999999999998</v>
      </c>
      <c r="S77" s="5">
        <v>5</v>
      </c>
      <c r="T77" s="5">
        <v>6</v>
      </c>
      <c r="U77" s="3">
        <f t="shared" si="55"/>
        <v>11</v>
      </c>
      <c r="V77" s="6">
        <f>117/15</f>
        <v>7.8</v>
      </c>
      <c r="W77" s="10">
        <v>4</v>
      </c>
      <c r="X77" s="10">
        <v>4</v>
      </c>
      <c r="Y77" s="3">
        <f t="shared" si="56"/>
        <v>8</v>
      </c>
      <c r="Z77" s="23">
        <f>88.5/15</f>
        <v>5.9</v>
      </c>
      <c r="AA77" s="5">
        <v>10</v>
      </c>
      <c r="AB77" s="5">
        <v>7</v>
      </c>
      <c r="AC77" s="3">
        <f t="shared" si="57"/>
        <v>17</v>
      </c>
      <c r="AD77" s="6">
        <f>191.5/15</f>
        <v>12.766666666666667</v>
      </c>
      <c r="AE77" s="10">
        <v>5</v>
      </c>
      <c r="AF77" s="10">
        <v>3</v>
      </c>
      <c r="AG77" s="3">
        <f t="shared" si="58"/>
        <v>8</v>
      </c>
      <c r="AH77" s="23">
        <f>99/15</f>
        <v>6.6</v>
      </c>
      <c r="AI77" s="5">
        <v>3</v>
      </c>
      <c r="AJ77" s="5">
        <v>7</v>
      </c>
      <c r="AK77" s="3">
        <f t="shared" si="45"/>
        <v>10</v>
      </c>
      <c r="AL77" s="6">
        <f>87.5/15</f>
        <v>5.833333333333333</v>
      </c>
      <c r="AM77" s="10">
        <v>13</v>
      </c>
      <c r="AN77" s="10">
        <v>4</v>
      </c>
      <c r="AO77" s="3">
        <f t="shared" si="46"/>
        <v>17</v>
      </c>
      <c r="AP77" s="23">
        <f>218.5/15</f>
        <v>14.566666666666666</v>
      </c>
      <c r="AQ77" s="5">
        <v>11</v>
      </c>
      <c r="AR77" s="5">
        <v>7</v>
      </c>
      <c r="AS77" s="3">
        <f t="shared" si="47"/>
        <v>18</v>
      </c>
      <c r="AT77" s="6">
        <f>213/15</f>
        <v>14.2</v>
      </c>
      <c r="AU77" s="10">
        <v>13</v>
      </c>
      <c r="AV77" s="10">
        <v>6</v>
      </c>
      <c r="AW77" s="3">
        <f t="shared" si="48"/>
        <v>19</v>
      </c>
      <c r="AX77" s="23">
        <f>226.5/15</f>
        <v>15.1</v>
      </c>
      <c r="AY77" s="5">
        <v>17</v>
      </c>
      <c r="AZ77" s="5">
        <v>8</v>
      </c>
      <c r="BA77" s="3">
        <f t="shared" si="49"/>
        <v>25</v>
      </c>
      <c r="BB77" s="6">
        <f>284/15</f>
        <v>18.933333333333334</v>
      </c>
      <c r="BC77" s="10">
        <v>21</v>
      </c>
      <c r="BD77" s="10">
        <v>8</v>
      </c>
      <c r="BE77" s="3">
        <f t="shared" si="50"/>
        <v>29</v>
      </c>
      <c r="BF77" s="23">
        <f>343/15</f>
        <v>22.866666666666667</v>
      </c>
    </row>
    <row r="78" spans="1:147" x14ac:dyDescent="0.2">
      <c r="A78" s="36" t="s">
        <v>110</v>
      </c>
      <c r="B78" s="8" t="s">
        <v>129</v>
      </c>
      <c r="C78" s="2">
        <v>0</v>
      </c>
      <c r="D78" s="2">
        <v>0</v>
      </c>
      <c r="E78" s="3">
        <f t="shared" si="51"/>
        <v>0</v>
      </c>
      <c r="F78" s="6">
        <v>0</v>
      </c>
      <c r="G78" s="10"/>
      <c r="H78" s="10"/>
      <c r="I78" s="3">
        <f t="shared" si="52"/>
        <v>0</v>
      </c>
      <c r="J78" s="23"/>
      <c r="K78" s="2">
        <v>6</v>
      </c>
      <c r="L78" s="2">
        <v>1</v>
      </c>
      <c r="M78" s="3">
        <f t="shared" si="53"/>
        <v>7</v>
      </c>
      <c r="N78" s="6">
        <f>94/15</f>
        <v>6.2666666666666666</v>
      </c>
      <c r="O78" s="10">
        <v>3</v>
      </c>
      <c r="P78" s="10">
        <v>4</v>
      </c>
      <c r="Q78" s="3">
        <f t="shared" si="54"/>
        <v>7</v>
      </c>
      <c r="R78" s="23">
        <v>5.2</v>
      </c>
      <c r="S78" s="2">
        <v>7</v>
      </c>
      <c r="T78" s="2">
        <v>1</v>
      </c>
      <c r="U78" s="3">
        <f t="shared" si="55"/>
        <v>8</v>
      </c>
      <c r="V78" s="6">
        <f>111/15</f>
        <v>7.4</v>
      </c>
      <c r="W78" s="10">
        <v>5</v>
      </c>
      <c r="X78" s="10">
        <v>7</v>
      </c>
      <c r="Y78" s="3">
        <f t="shared" si="56"/>
        <v>12</v>
      </c>
      <c r="Z78" s="23">
        <f>128/15</f>
        <v>8.5333333333333332</v>
      </c>
      <c r="AA78" s="2">
        <v>16</v>
      </c>
      <c r="AB78" s="2">
        <v>10</v>
      </c>
      <c r="AC78" s="3">
        <f t="shared" si="57"/>
        <v>26</v>
      </c>
      <c r="AD78" s="6">
        <f>307/15</f>
        <v>20.466666666666665</v>
      </c>
      <c r="AE78" s="10">
        <v>12</v>
      </c>
      <c r="AF78" s="10">
        <v>8</v>
      </c>
      <c r="AG78" s="3">
        <f t="shared" si="58"/>
        <v>20</v>
      </c>
      <c r="AH78" s="23">
        <f>236/15</f>
        <v>15.733333333333333</v>
      </c>
      <c r="AI78" s="2">
        <v>22</v>
      </c>
      <c r="AJ78" s="2">
        <v>6</v>
      </c>
      <c r="AK78" s="3">
        <f t="shared" si="45"/>
        <v>28</v>
      </c>
      <c r="AL78" s="6">
        <f>355/15</f>
        <v>23.666666666666668</v>
      </c>
      <c r="AM78" s="10">
        <v>19</v>
      </c>
      <c r="AN78" s="10">
        <v>2</v>
      </c>
      <c r="AO78" s="3">
        <f t="shared" si="46"/>
        <v>21</v>
      </c>
      <c r="AP78" s="23">
        <f>295/15</f>
        <v>19.666666666666668</v>
      </c>
      <c r="AQ78" s="2">
        <v>39</v>
      </c>
      <c r="AR78" s="2">
        <v>10</v>
      </c>
      <c r="AS78" s="3">
        <f t="shared" si="47"/>
        <v>49</v>
      </c>
      <c r="AT78" s="6">
        <f>636/15</f>
        <v>42.4</v>
      </c>
      <c r="AU78" s="10">
        <v>25</v>
      </c>
      <c r="AV78" s="10">
        <v>8</v>
      </c>
      <c r="AW78" s="3">
        <f t="shared" si="48"/>
        <v>33</v>
      </c>
      <c r="AX78" s="23">
        <f>427.5/15</f>
        <v>28.5</v>
      </c>
      <c r="AY78" s="2">
        <v>39</v>
      </c>
      <c r="AZ78" s="2">
        <v>7</v>
      </c>
      <c r="BA78" s="3">
        <f t="shared" si="49"/>
        <v>46</v>
      </c>
      <c r="BB78" s="6">
        <f>636/15</f>
        <v>42.4</v>
      </c>
      <c r="BC78" s="10">
        <v>38</v>
      </c>
      <c r="BD78" s="10">
        <v>11</v>
      </c>
      <c r="BE78" s="3">
        <f t="shared" si="50"/>
        <v>49</v>
      </c>
      <c r="BF78" s="23">
        <f>610.5/15</f>
        <v>40.700000000000003</v>
      </c>
    </row>
    <row r="79" spans="1:147" s="8" customFormat="1" x14ac:dyDescent="0.2">
      <c r="A79" s="36" t="s">
        <v>111</v>
      </c>
      <c r="B79" s="8" t="s">
        <v>130</v>
      </c>
      <c r="C79" s="2">
        <v>43</v>
      </c>
      <c r="D79" s="2">
        <v>59</v>
      </c>
      <c r="E79" s="3">
        <f t="shared" si="51"/>
        <v>102</v>
      </c>
      <c r="F79" s="6">
        <v>75.7</v>
      </c>
      <c r="G79" s="10"/>
      <c r="H79" s="10"/>
      <c r="I79" s="3">
        <f t="shared" si="52"/>
        <v>0</v>
      </c>
      <c r="J79" s="23"/>
      <c r="K79" s="2">
        <v>37</v>
      </c>
      <c r="L79" s="2">
        <v>97</v>
      </c>
      <c r="M79" s="3">
        <f t="shared" si="53"/>
        <v>134</v>
      </c>
      <c r="N79" s="6">
        <f>1303.5/15</f>
        <v>86.9</v>
      </c>
      <c r="O79" s="10">
        <v>38</v>
      </c>
      <c r="P79" s="10">
        <v>79</v>
      </c>
      <c r="Q79" s="3">
        <f t="shared" si="54"/>
        <v>117</v>
      </c>
      <c r="R79" s="23">
        <v>80.5</v>
      </c>
      <c r="S79" s="2">
        <v>55</v>
      </c>
      <c r="T79" s="2">
        <v>88</v>
      </c>
      <c r="U79" s="3">
        <f t="shared" si="55"/>
        <v>143</v>
      </c>
      <c r="V79" s="6">
        <f>1506/15</f>
        <v>100.4</v>
      </c>
      <c r="W79" s="10">
        <v>54</v>
      </c>
      <c r="X79" s="10">
        <v>76</v>
      </c>
      <c r="Y79" s="3">
        <f t="shared" si="56"/>
        <v>130</v>
      </c>
      <c r="Z79" s="23">
        <f>1422/15</f>
        <v>94.8</v>
      </c>
      <c r="AA79" s="2">
        <v>113</v>
      </c>
      <c r="AB79" s="2">
        <v>44</v>
      </c>
      <c r="AC79" s="3">
        <f t="shared" si="57"/>
        <v>157</v>
      </c>
      <c r="AD79" s="6">
        <f>1773/15</f>
        <v>118.2</v>
      </c>
      <c r="AE79" s="10">
        <v>114</v>
      </c>
      <c r="AF79" s="10">
        <v>43</v>
      </c>
      <c r="AG79" s="3">
        <f t="shared" si="58"/>
        <v>157</v>
      </c>
      <c r="AH79" s="23">
        <f>1790.5/15</f>
        <v>119.36666666666666</v>
      </c>
      <c r="AI79" s="2">
        <v>150</v>
      </c>
      <c r="AJ79" s="2">
        <v>39</v>
      </c>
      <c r="AK79" s="3">
        <f t="shared" si="45"/>
        <v>189</v>
      </c>
      <c r="AL79" s="6">
        <f>(2152.5+55)/15</f>
        <v>147.16666666666666</v>
      </c>
      <c r="AM79" s="10">
        <v>123</v>
      </c>
      <c r="AN79" s="10">
        <v>42</v>
      </c>
      <c r="AO79" s="3">
        <f t="shared" si="46"/>
        <v>165</v>
      </c>
      <c r="AP79" s="23">
        <f>1903.5/15</f>
        <v>126.9</v>
      </c>
      <c r="AQ79" s="2">
        <v>299</v>
      </c>
      <c r="AR79" s="2">
        <v>180</v>
      </c>
      <c r="AS79" s="3">
        <f t="shared" si="47"/>
        <v>479</v>
      </c>
      <c r="AT79" s="6">
        <f>5177/15</f>
        <v>345.13333333333333</v>
      </c>
      <c r="AU79" s="10">
        <v>207</v>
      </c>
      <c r="AV79" s="10">
        <v>90</v>
      </c>
      <c r="AW79" s="3">
        <f t="shared" si="48"/>
        <v>297</v>
      </c>
      <c r="AX79" s="23">
        <f>(2707.5+673)/15</f>
        <v>225.36666666666667</v>
      </c>
      <c r="AY79" s="2">
        <v>632</v>
      </c>
      <c r="AZ79" s="2">
        <v>351</v>
      </c>
      <c r="BA79" s="3">
        <f t="shared" si="49"/>
        <v>983</v>
      </c>
      <c r="BB79" s="6">
        <f>10912.5/15</f>
        <v>727.5</v>
      </c>
      <c r="BC79" s="10">
        <v>544</v>
      </c>
      <c r="BD79" s="10">
        <v>397</v>
      </c>
      <c r="BE79" s="3">
        <f t="shared" si="50"/>
        <v>941</v>
      </c>
      <c r="BF79" s="23">
        <f>9984.5/15</f>
        <v>665.63333333333333</v>
      </c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</row>
    <row r="80" spans="1:147" x14ac:dyDescent="0.2">
      <c r="A80" s="36" t="s">
        <v>114</v>
      </c>
      <c r="B80" s="8" t="s">
        <v>133</v>
      </c>
      <c r="C80" s="2">
        <v>11</v>
      </c>
      <c r="D80" s="2">
        <v>23</v>
      </c>
      <c r="E80" s="3">
        <f t="shared" si="51"/>
        <v>34</v>
      </c>
      <c r="F80" s="6">
        <v>22.5</v>
      </c>
      <c r="G80" s="10"/>
      <c r="H80" s="10"/>
      <c r="I80" s="3">
        <f t="shared" si="52"/>
        <v>0</v>
      </c>
      <c r="J80" s="23"/>
      <c r="K80" s="2">
        <v>18</v>
      </c>
      <c r="L80" s="2">
        <v>20</v>
      </c>
      <c r="M80" s="3">
        <f t="shared" si="53"/>
        <v>38</v>
      </c>
      <c r="N80" s="6">
        <f>397/15</f>
        <v>26.466666666666665</v>
      </c>
      <c r="O80" s="10">
        <v>11</v>
      </c>
      <c r="P80" s="10">
        <v>21</v>
      </c>
      <c r="Q80" s="3">
        <f t="shared" si="54"/>
        <v>32</v>
      </c>
      <c r="R80" s="23">
        <v>24</v>
      </c>
      <c r="S80" s="2">
        <v>20</v>
      </c>
      <c r="T80" s="2">
        <v>21</v>
      </c>
      <c r="U80" s="3">
        <f t="shared" si="55"/>
        <v>41</v>
      </c>
      <c r="V80" s="6">
        <f>438/15</f>
        <v>29.2</v>
      </c>
      <c r="W80" s="10">
        <v>16</v>
      </c>
      <c r="X80" s="10">
        <v>24</v>
      </c>
      <c r="Y80" s="3">
        <f t="shared" si="56"/>
        <v>40</v>
      </c>
      <c r="Z80" s="23">
        <f>462.5/15</f>
        <v>30.833333333333332</v>
      </c>
      <c r="AA80" s="2">
        <v>49</v>
      </c>
      <c r="AB80" s="2">
        <v>18</v>
      </c>
      <c r="AC80" s="3">
        <f t="shared" si="57"/>
        <v>67</v>
      </c>
      <c r="AD80" s="6">
        <f>818/15</f>
        <v>54.533333333333331</v>
      </c>
      <c r="AE80" s="10">
        <v>32</v>
      </c>
      <c r="AF80" s="10">
        <v>25</v>
      </c>
      <c r="AG80" s="3">
        <f t="shared" si="58"/>
        <v>57</v>
      </c>
      <c r="AH80" s="23">
        <f>666.5/15</f>
        <v>44.43333333333333</v>
      </c>
      <c r="AI80" s="2">
        <v>57</v>
      </c>
      <c r="AJ80" s="2">
        <v>20</v>
      </c>
      <c r="AK80" s="3">
        <f t="shared" si="45"/>
        <v>77</v>
      </c>
      <c r="AL80" s="6">
        <f>947.5/15</f>
        <v>63.166666666666664</v>
      </c>
      <c r="AM80" s="10">
        <v>50</v>
      </c>
      <c r="AN80" s="10">
        <v>28</v>
      </c>
      <c r="AO80" s="3">
        <f t="shared" si="46"/>
        <v>78</v>
      </c>
      <c r="AP80" s="23">
        <f>944.5/15</f>
        <v>62.966666666666669</v>
      </c>
      <c r="AQ80" s="2">
        <v>51</v>
      </c>
      <c r="AR80" s="2">
        <v>17</v>
      </c>
      <c r="AS80" s="3">
        <f t="shared" si="47"/>
        <v>68</v>
      </c>
      <c r="AT80" s="6">
        <f>823/15</f>
        <v>54.866666666666667</v>
      </c>
      <c r="AU80" s="10">
        <v>40</v>
      </c>
      <c r="AV80" s="10">
        <v>17</v>
      </c>
      <c r="AW80" s="3">
        <f t="shared" si="48"/>
        <v>57</v>
      </c>
      <c r="AX80" s="23">
        <f>660.5/15</f>
        <v>44.033333333333331</v>
      </c>
      <c r="AY80" s="2">
        <v>57</v>
      </c>
      <c r="AZ80" s="2">
        <v>16</v>
      </c>
      <c r="BA80" s="3">
        <f t="shared" si="49"/>
        <v>73</v>
      </c>
      <c r="BB80" s="6">
        <f>916.5/15</f>
        <v>61.1</v>
      </c>
      <c r="BC80" s="10">
        <v>43</v>
      </c>
      <c r="BD80" s="10">
        <v>22</v>
      </c>
      <c r="BE80" s="3">
        <f t="shared" si="50"/>
        <v>65</v>
      </c>
      <c r="BF80" s="23">
        <f>797/15</f>
        <v>53.133333333333333</v>
      </c>
    </row>
    <row r="81" spans="1:147" x14ac:dyDescent="0.2">
      <c r="A81" s="37" t="s">
        <v>115</v>
      </c>
      <c r="B81" s="9" t="s">
        <v>134</v>
      </c>
      <c r="C81" s="5">
        <v>10</v>
      </c>
      <c r="D81" s="5">
        <v>9</v>
      </c>
      <c r="E81" s="7">
        <f t="shared" si="51"/>
        <v>19</v>
      </c>
      <c r="F81" s="6">
        <v>14.7</v>
      </c>
      <c r="G81" s="10"/>
      <c r="H81" s="10"/>
      <c r="I81" s="7">
        <f t="shared" si="52"/>
        <v>0</v>
      </c>
      <c r="J81" s="23"/>
      <c r="K81" s="5">
        <v>7</v>
      </c>
      <c r="L81" s="5">
        <v>15</v>
      </c>
      <c r="M81" s="7">
        <f t="shared" si="53"/>
        <v>22</v>
      </c>
      <c r="N81" s="6">
        <f>216/15</f>
        <v>14.4</v>
      </c>
      <c r="O81" s="10">
        <v>15</v>
      </c>
      <c r="P81" s="10">
        <v>4</v>
      </c>
      <c r="Q81" s="7">
        <f t="shared" si="54"/>
        <v>19</v>
      </c>
      <c r="R81" s="23">
        <v>17</v>
      </c>
      <c r="S81" s="5">
        <v>6</v>
      </c>
      <c r="T81" s="5">
        <v>15</v>
      </c>
      <c r="U81" s="7">
        <f t="shared" si="55"/>
        <v>21</v>
      </c>
      <c r="V81" s="6">
        <f>230/15</f>
        <v>15.333333333333334</v>
      </c>
      <c r="W81" s="10">
        <v>17</v>
      </c>
      <c r="X81" s="10">
        <v>5</v>
      </c>
      <c r="Y81" s="7">
        <f t="shared" si="56"/>
        <v>22</v>
      </c>
      <c r="Z81" s="23">
        <f>289/15</f>
        <v>19.266666666666666</v>
      </c>
      <c r="AA81" s="5">
        <v>7</v>
      </c>
      <c r="AB81" s="5">
        <v>10</v>
      </c>
      <c r="AC81" s="7">
        <f t="shared" si="57"/>
        <v>17</v>
      </c>
      <c r="AD81" s="6">
        <f>174/15</f>
        <v>11.6</v>
      </c>
      <c r="AE81" s="10">
        <v>8</v>
      </c>
      <c r="AF81" s="10">
        <v>8</v>
      </c>
      <c r="AG81" s="7">
        <f t="shared" si="58"/>
        <v>16</v>
      </c>
      <c r="AH81" s="6">
        <f>191/15</f>
        <v>12.733333333333333</v>
      </c>
      <c r="AI81" s="5">
        <v>9</v>
      </c>
      <c r="AJ81" s="5">
        <v>9</v>
      </c>
      <c r="AK81" s="7">
        <f t="shared" si="45"/>
        <v>18</v>
      </c>
      <c r="AL81" s="6">
        <f>202.5/15</f>
        <v>13.5</v>
      </c>
      <c r="AM81" s="10">
        <v>12</v>
      </c>
      <c r="AN81" s="10">
        <v>4</v>
      </c>
      <c r="AO81" s="7">
        <f t="shared" si="46"/>
        <v>16</v>
      </c>
      <c r="AP81" s="6">
        <f>214.5/15</f>
        <v>14.3</v>
      </c>
      <c r="AQ81" s="5">
        <v>21</v>
      </c>
      <c r="AR81" s="5">
        <v>20</v>
      </c>
      <c r="AS81" s="7">
        <f t="shared" si="47"/>
        <v>41</v>
      </c>
      <c r="AT81" s="6">
        <f>432/15</f>
        <v>28.8</v>
      </c>
      <c r="AU81" s="10">
        <v>22</v>
      </c>
      <c r="AV81" s="10">
        <v>20</v>
      </c>
      <c r="AW81" s="7">
        <f t="shared" si="48"/>
        <v>42</v>
      </c>
      <c r="AX81" s="6">
        <f>464/15</f>
        <v>30.933333333333334</v>
      </c>
      <c r="AY81" s="5">
        <v>25</v>
      </c>
      <c r="AZ81" s="5">
        <v>11</v>
      </c>
      <c r="BA81" s="7">
        <f t="shared" si="49"/>
        <v>36</v>
      </c>
      <c r="BB81" s="6">
        <f>429/15</f>
        <v>28.6</v>
      </c>
      <c r="BC81" s="10">
        <v>30</v>
      </c>
      <c r="BD81" s="10">
        <v>17</v>
      </c>
      <c r="BE81" s="7">
        <f t="shared" si="50"/>
        <v>47</v>
      </c>
      <c r="BF81" s="23">
        <f>536.5/15</f>
        <v>35.766666666666666</v>
      </c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</row>
    <row r="82" spans="1:147" x14ac:dyDescent="0.2">
      <c r="B82" s="27" t="s">
        <v>7</v>
      </c>
      <c r="C82" s="43">
        <f t="shared" ref="C82:AH82" si="59">SUM(C72:C81)</f>
        <v>90</v>
      </c>
      <c r="D82" s="43">
        <f t="shared" si="59"/>
        <v>117</v>
      </c>
      <c r="E82" s="45">
        <f t="shared" si="59"/>
        <v>207</v>
      </c>
      <c r="F82" s="39">
        <f t="shared" si="59"/>
        <v>154.1</v>
      </c>
      <c r="G82" s="43">
        <f t="shared" si="59"/>
        <v>0</v>
      </c>
      <c r="H82" s="43">
        <f t="shared" si="59"/>
        <v>0</v>
      </c>
      <c r="I82" s="45">
        <f t="shared" si="59"/>
        <v>0</v>
      </c>
      <c r="J82" s="39">
        <f t="shared" si="59"/>
        <v>0</v>
      </c>
      <c r="K82" s="43">
        <f t="shared" si="59"/>
        <v>92</v>
      </c>
      <c r="L82" s="43">
        <f t="shared" si="59"/>
        <v>160</v>
      </c>
      <c r="M82" s="45">
        <f t="shared" si="59"/>
        <v>252</v>
      </c>
      <c r="N82" s="39">
        <f t="shared" si="59"/>
        <v>173.10000000000002</v>
      </c>
      <c r="O82" s="43">
        <f t="shared" si="59"/>
        <v>100</v>
      </c>
      <c r="P82" s="43">
        <f t="shared" si="59"/>
        <v>127</v>
      </c>
      <c r="Q82" s="45">
        <f t="shared" si="59"/>
        <v>227</v>
      </c>
      <c r="R82" s="39">
        <f t="shared" si="59"/>
        <v>168.6</v>
      </c>
      <c r="S82" s="43">
        <f t="shared" si="59"/>
        <v>116</v>
      </c>
      <c r="T82" s="43">
        <f t="shared" si="59"/>
        <v>152</v>
      </c>
      <c r="U82" s="45">
        <f t="shared" si="59"/>
        <v>268</v>
      </c>
      <c r="V82" s="39">
        <f t="shared" si="59"/>
        <v>194.53333333333333</v>
      </c>
      <c r="W82" s="43">
        <f t="shared" si="59"/>
        <v>126</v>
      </c>
      <c r="X82" s="43">
        <f t="shared" si="59"/>
        <v>130</v>
      </c>
      <c r="Y82" s="45">
        <f t="shared" si="59"/>
        <v>256</v>
      </c>
      <c r="Z82" s="39">
        <f t="shared" si="59"/>
        <v>196.3</v>
      </c>
      <c r="AA82" s="43">
        <f t="shared" si="59"/>
        <v>217</v>
      </c>
      <c r="AB82" s="43">
        <f t="shared" si="59"/>
        <v>125</v>
      </c>
      <c r="AC82" s="45">
        <f t="shared" si="59"/>
        <v>342</v>
      </c>
      <c r="AD82" s="39">
        <f t="shared" si="59"/>
        <v>258.39999999999998</v>
      </c>
      <c r="AE82" s="43">
        <f t="shared" si="59"/>
        <v>201</v>
      </c>
      <c r="AF82" s="43">
        <f t="shared" si="59"/>
        <v>108</v>
      </c>
      <c r="AG82" s="45">
        <f t="shared" si="59"/>
        <v>309</v>
      </c>
      <c r="AH82" s="39">
        <f t="shared" si="59"/>
        <v>237.06666666666666</v>
      </c>
      <c r="AI82" s="43">
        <f t="shared" ref="AI82:BN82" si="60">SUM(AI72:AI81)</f>
        <v>261</v>
      </c>
      <c r="AJ82" s="43">
        <f t="shared" si="60"/>
        <v>125</v>
      </c>
      <c r="AK82" s="45">
        <f t="shared" si="60"/>
        <v>386</v>
      </c>
      <c r="AL82" s="39">
        <f t="shared" si="60"/>
        <v>293.3</v>
      </c>
      <c r="AM82" s="43">
        <f t="shared" si="60"/>
        <v>246</v>
      </c>
      <c r="AN82" s="43">
        <f t="shared" si="60"/>
        <v>106</v>
      </c>
      <c r="AO82" s="45">
        <f t="shared" si="60"/>
        <v>352</v>
      </c>
      <c r="AP82" s="39">
        <f t="shared" si="60"/>
        <v>280.10000000000002</v>
      </c>
      <c r="AQ82" s="43">
        <f t="shared" si="60"/>
        <v>583</v>
      </c>
      <c r="AR82" s="43">
        <f t="shared" si="60"/>
        <v>310</v>
      </c>
      <c r="AS82" s="45">
        <f t="shared" si="60"/>
        <v>893</v>
      </c>
      <c r="AT82" s="39">
        <f t="shared" si="60"/>
        <v>666.93333333333328</v>
      </c>
      <c r="AU82" s="43">
        <f t="shared" si="60"/>
        <v>428</v>
      </c>
      <c r="AV82" s="43">
        <f t="shared" si="60"/>
        <v>225</v>
      </c>
      <c r="AW82" s="45">
        <f t="shared" si="60"/>
        <v>653</v>
      </c>
      <c r="AX82" s="39">
        <f t="shared" si="60"/>
        <v>490.99999999999994</v>
      </c>
      <c r="AY82" s="43">
        <f t="shared" si="60"/>
        <v>931</v>
      </c>
      <c r="AZ82" s="43">
        <f t="shared" si="60"/>
        <v>447</v>
      </c>
      <c r="BA82" s="45">
        <f t="shared" si="60"/>
        <v>1378</v>
      </c>
      <c r="BB82" s="39">
        <f t="shared" si="60"/>
        <v>1052.5999999999999</v>
      </c>
      <c r="BC82" s="43">
        <f t="shared" si="60"/>
        <v>822</v>
      </c>
      <c r="BD82" s="43">
        <f t="shared" si="60"/>
        <v>512</v>
      </c>
      <c r="BE82" s="45">
        <f t="shared" si="60"/>
        <v>1334</v>
      </c>
      <c r="BF82" s="39">
        <f t="shared" si="60"/>
        <v>977.76666666666665</v>
      </c>
    </row>
    <row r="83" spans="1:147" x14ac:dyDescent="0.2">
      <c r="B83" s="8"/>
      <c r="C83" s="20"/>
      <c r="D83" s="20"/>
      <c r="E83" s="15"/>
      <c r="G83" s="20"/>
      <c r="H83" s="20"/>
      <c r="I83" s="26" t="s">
        <v>8</v>
      </c>
      <c r="J83" s="6">
        <f>(F82+J82)/2</f>
        <v>77.05</v>
      </c>
      <c r="K83" s="20"/>
      <c r="L83" s="20"/>
      <c r="M83" s="15"/>
      <c r="O83" s="20"/>
      <c r="P83" s="20"/>
      <c r="Q83" s="26" t="s">
        <v>8</v>
      </c>
      <c r="R83" s="6">
        <f>(N82+R82)/2</f>
        <v>170.85000000000002</v>
      </c>
      <c r="S83" s="20"/>
      <c r="T83" s="20"/>
      <c r="U83" s="15"/>
      <c r="W83" s="20"/>
      <c r="X83" s="20"/>
      <c r="Y83" s="26" t="s">
        <v>8</v>
      </c>
      <c r="Z83" s="6">
        <f>(V82+Z82)/2</f>
        <v>195.41666666666669</v>
      </c>
      <c r="AA83" s="20"/>
      <c r="AB83" s="20"/>
      <c r="AC83" s="15"/>
      <c r="AE83" s="20"/>
      <c r="AF83" s="20"/>
      <c r="AG83" s="26" t="s">
        <v>8</v>
      </c>
      <c r="AH83" s="6">
        <f>(AD82+AH82)/2</f>
        <v>247.73333333333332</v>
      </c>
      <c r="AI83" s="20"/>
      <c r="AJ83" s="20"/>
      <c r="AK83" s="15"/>
      <c r="AM83" s="20"/>
      <c r="AN83" s="20"/>
      <c r="AO83" s="26" t="s">
        <v>8</v>
      </c>
      <c r="AP83" s="6">
        <f>(AL82+AP82)/2</f>
        <v>286.70000000000005</v>
      </c>
      <c r="AQ83" s="20"/>
      <c r="AR83" s="20"/>
      <c r="AS83" s="15"/>
      <c r="AU83" s="20"/>
      <c r="AV83" s="20"/>
      <c r="AW83" s="26" t="s">
        <v>8</v>
      </c>
      <c r="AX83" s="6">
        <f>(AT82+AX82)/2</f>
        <v>578.96666666666658</v>
      </c>
      <c r="AY83" s="20"/>
      <c r="AZ83" s="20"/>
      <c r="BA83" s="15"/>
      <c r="BC83" s="20"/>
      <c r="BD83" s="20"/>
      <c r="BE83" s="26" t="s">
        <v>8</v>
      </c>
      <c r="BF83" s="6">
        <f>(BB82+BF82)/2</f>
        <v>1015.1833333333333</v>
      </c>
    </row>
    <row r="84" spans="1:147" s="8" customFormat="1" x14ac:dyDescent="0.2">
      <c r="A84" s="37"/>
      <c r="B84" s="4"/>
      <c r="C84" s="5"/>
      <c r="D84" s="5"/>
      <c r="E84" s="7"/>
      <c r="F84" s="6"/>
      <c r="G84" s="5"/>
      <c r="H84" s="5"/>
      <c r="I84" s="7"/>
      <c r="J84" s="6"/>
      <c r="K84" s="5"/>
      <c r="L84" s="5"/>
      <c r="M84" s="7"/>
      <c r="N84" s="6"/>
      <c r="O84" s="5"/>
      <c r="P84" s="5"/>
      <c r="Q84" s="7"/>
      <c r="R84" s="6"/>
      <c r="S84" s="5"/>
      <c r="T84" s="5"/>
      <c r="U84" s="7"/>
      <c r="V84" s="6"/>
      <c r="W84" s="5"/>
      <c r="X84" s="5"/>
      <c r="Y84" s="7"/>
      <c r="Z84" s="6"/>
      <c r="AA84" s="5"/>
      <c r="AB84" s="5"/>
      <c r="AC84" s="7"/>
      <c r="AD84" s="6"/>
      <c r="AE84" s="5"/>
      <c r="AF84" s="5"/>
      <c r="AG84" s="7"/>
      <c r="AH84" s="6"/>
      <c r="AI84" s="5"/>
      <c r="AJ84" s="5"/>
      <c r="AK84" s="7"/>
      <c r="AL84" s="6"/>
      <c r="AM84" s="5"/>
      <c r="AN84" s="5"/>
      <c r="AO84" s="7"/>
      <c r="AP84" s="6"/>
      <c r="AQ84" s="5"/>
      <c r="AR84" s="5"/>
      <c r="AS84" s="7"/>
      <c r="AT84" s="6"/>
      <c r="AU84" s="5"/>
      <c r="AV84" s="5"/>
      <c r="AW84" s="7"/>
      <c r="AX84" s="6"/>
      <c r="AY84" s="5"/>
      <c r="AZ84" s="5"/>
      <c r="BA84" s="7"/>
      <c r="BB84" s="6"/>
      <c r="BC84" s="5"/>
      <c r="BD84" s="5"/>
      <c r="BE84" s="7"/>
      <c r="BF84" s="6"/>
    </row>
    <row r="85" spans="1:147" x14ac:dyDescent="0.2">
      <c r="B85" s="8"/>
      <c r="E85" s="3" t="s">
        <v>263</v>
      </c>
      <c r="F85" s="21"/>
      <c r="I85" s="3" t="s">
        <v>264</v>
      </c>
      <c r="J85" s="6"/>
      <c r="M85" s="3" t="s">
        <v>232</v>
      </c>
      <c r="N85" s="21"/>
      <c r="Q85" s="3" t="s">
        <v>233</v>
      </c>
      <c r="R85" s="6"/>
      <c r="U85" s="3" t="s">
        <v>225</v>
      </c>
      <c r="V85" s="21"/>
      <c r="Y85" s="3" t="s">
        <v>226</v>
      </c>
      <c r="Z85" s="6"/>
      <c r="AC85" s="3" t="s">
        <v>221</v>
      </c>
      <c r="AD85" s="21"/>
      <c r="AG85" s="3" t="s">
        <v>222</v>
      </c>
      <c r="AH85" s="6"/>
      <c r="AK85" s="3" t="s">
        <v>215</v>
      </c>
      <c r="AL85" s="21"/>
      <c r="AO85" s="3" t="s">
        <v>216</v>
      </c>
      <c r="AP85" s="6"/>
      <c r="AS85" s="3" t="s">
        <v>209</v>
      </c>
      <c r="AT85" s="21"/>
      <c r="AW85" s="3" t="s">
        <v>210</v>
      </c>
      <c r="AX85" s="6"/>
      <c r="BA85" s="3" t="s">
        <v>205</v>
      </c>
      <c r="BB85" s="21"/>
      <c r="BE85" s="3" t="s">
        <v>206</v>
      </c>
      <c r="BF85" s="6"/>
    </row>
    <row r="86" spans="1:147" x14ac:dyDescent="0.2">
      <c r="B86" s="4" t="s">
        <v>241</v>
      </c>
      <c r="C86" s="2" t="s">
        <v>0</v>
      </c>
      <c r="D86" s="2" t="s">
        <v>1</v>
      </c>
      <c r="E86" s="7" t="s">
        <v>5</v>
      </c>
      <c r="F86" s="6" t="s">
        <v>6</v>
      </c>
      <c r="G86" s="2" t="s">
        <v>0</v>
      </c>
      <c r="H86" s="2" t="s">
        <v>1</v>
      </c>
      <c r="I86" s="7" t="s">
        <v>5</v>
      </c>
      <c r="J86" s="6" t="s">
        <v>6</v>
      </c>
      <c r="K86" s="2" t="s">
        <v>0</v>
      </c>
      <c r="L86" s="2" t="s">
        <v>1</v>
      </c>
      <c r="M86" s="7" t="s">
        <v>5</v>
      </c>
      <c r="N86" s="6" t="s">
        <v>6</v>
      </c>
      <c r="O86" s="2" t="s">
        <v>0</v>
      </c>
      <c r="P86" s="2" t="s">
        <v>1</v>
      </c>
      <c r="Q86" s="7" t="s">
        <v>5</v>
      </c>
      <c r="R86" s="6" t="s">
        <v>6</v>
      </c>
      <c r="S86" s="2" t="s">
        <v>0</v>
      </c>
      <c r="T86" s="2" t="s">
        <v>1</v>
      </c>
      <c r="U86" s="7" t="s">
        <v>5</v>
      </c>
      <c r="V86" s="6" t="s">
        <v>6</v>
      </c>
      <c r="W86" s="2" t="s">
        <v>0</v>
      </c>
      <c r="X86" s="2" t="s">
        <v>1</v>
      </c>
      <c r="Y86" s="7" t="s">
        <v>5</v>
      </c>
      <c r="Z86" s="6" t="s">
        <v>6</v>
      </c>
      <c r="AA86" s="2" t="s">
        <v>0</v>
      </c>
      <c r="AB86" s="2" t="s">
        <v>1</v>
      </c>
      <c r="AC86" s="7" t="s">
        <v>5</v>
      </c>
      <c r="AD86" s="6" t="s">
        <v>6</v>
      </c>
      <c r="AE86" s="2" t="s">
        <v>0</v>
      </c>
      <c r="AF86" s="2" t="s">
        <v>1</v>
      </c>
      <c r="AG86" s="7" t="s">
        <v>5</v>
      </c>
      <c r="AH86" s="6" t="s">
        <v>6</v>
      </c>
      <c r="AI86" s="2" t="s">
        <v>0</v>
      </c>
      <c r="AJ86" s="2" t="s">
        <v>1</v>
      </c>
      <c r="AK86" s="7" t="s">
        <v>5</v>
      </c>
      <c r="AL86" s="6" t="s">
        <v>6</v>
      </c>
      <c r="AM86" s="2" t="s">
        <v>0</v>
      </c>
      <c r="AN86" s="2" t="s">
        <v>1</v>
      </c>
      <c r="AO86" s="7" t="s">
        <v>5</v>
      </c>
      <c r="AP86" s="6" t="s">
        <v>6</v>
      </c>
      <c r="AQ86" s="2" t="s">
        <v>0</v>
      </c>
      <c r="AR86" s="2" t="s">
        <v>1</v>
      </c>
      <c r="AS86" s="7" t="s">
        <v>5</v>
      </c>
      <c r="AT86" s="6" t="s">
        <v>6</v>
      </c>
      <c r="AU86" s="2" t="s">
        <v>0</v>
      </c>
      <c r="AV86" s="2" t="s">
        <v>1</v>
      </c>
      <c r="AW86" s="7" t="s">
        <v>5</v>
      </c>
      <c r="AX86" s="6" t="s">
        <v>6</v>
      </c>
      <c r="AY86" s="2" t="s">
        <v>0</v>
      </c>
      <c r="AZ86" s="2" t="s">
        <v>1</v>
      </c>
      <c r="BA86" s="7" t="s">
        <v>5</v>
      </c>
      <c r="BB86" s="6" t="s">
        <v>6</v>
      </c>
      <c r="BC86" s="2" t="s">
        <v>0</v>
      </c>
      <c r="BD86" s="2" t="s">
        <v>1</v>
      </c>
      <c r="BE86" s="7" t="s">
        <v>5</v>
      </c>
      <c r="BF86" s="6" t="s">
        <v>6</v>
      </c>
    </row>
    <row r="87" spans="1:147" x14ac:dyDescent="0.2">
      <c r="A87" s="36" t="s">
        <v>87</v>
      </c>
      <c r="B87" s="8" t="s">
        <v>94</v>
      </c>
      <c r="C87" s="2">
        <v>4</v>
      </c>
      <c r="D87" s="2">
        <v>1</v>
      </c>
      <c r="E87" s="3">
        <f>SUM(C87:D87)</f>
        <v>5</v>
      </c>
      <c r="F87" s="6">
        <v>3.7</v>
      </c>
      <c r="G87" s="10"/>
      <c r="H87" s="10"/>
      <c r="I87" s="3">
        <f>SUM(G87:H87)</f>
        <v>0</v>
      </c>
      <c r="J87" s="23"/>
      <c r="K87" s="2">
        <v>7</v>
      </c>
      <c r="L87" s="2">
        <v>1</v>
      </c>
      <c r="M87" s="3">
        <f>SUM(K87:L87)</f>
        <v>8</v>
      </c>
      <c r="N87" s="6">
        <f>105/15</f>
        <v>7</v>
      </c>
      <c r="O87" s="10">
        <v>2</v>
      </c>
      <c r="P87" s="10">
        <v>1</v>
      </c>
      <c r="Q87" s="3">
        <f>SUM(O87:P87)</f>
        <v>3</v>
      </c>
      <c r="R87" s="23">
        <v>2.8</v>
      </c>
      <c r="S87" s="2">
        <v>11</v>
      </c>
      <c r="T87" s="2">
        <v>5</v>
      </c>
      <c r="U87" s="3">
        <f>SUM(S87:T87)</f>
        <v>16</v>
      </c>
      <c r="V87" s="6">
        <f>191/15</f>
        <v>12.733333333333333</v>
      </c>
      <c r="W87" s="10">
        <v>6</v>
      </c>
      <c r="X87" s="10">
        <v>6</v>
      </c>
      <c r="Y87" s="3">
        <f>SUM(W87:X87)</f>
        <v>12</v>
      </c>
      <c r="Z87" s="23">
        <f>118.5/15</f>
        <v>7.9</v>
      </c>
      <c r="AA87" s="2">
        <v>16</v>
      </c>
      <c r="AB87" s="2">
        <v>5</v>
      </c>
      <c r="AC87" s="3">
        <f>SUM(AA87:AB87)</f>
        <v>21</v>
      </c>
      <c r="AD87" s="6">
        <f>260.5/15</f>
        <v>17.366666666666667</v>
      </c>
      <c r="AE87" s="10">
        <v>12</v>
      </c>
      <c r="AF87" s="10">
        <v>3</v>
      </c>
      <c r="AG87" s="3">
        <f>SUM(AE87:AF87)</f>
        <v>15</v>
      </c>
      <c r="AH87" s="23">
        <f>199.5/15</f>
        <v>13.3</v>
      </c>
      <c r="AI87" s="2">
        <v>40</v>
      </c>
      <c r="AJ87" s="2">
        <v>13</v>
      </c>
      <c r="AK87" s="3">
        <f>SUM(AI87:AJ87)</f>
        <v>53</v>
      </c>
      <c r="AL87" s="6">
        <f>(24+583.5)/15</f>
        <v>40.5</v>
      </c>
      <c r="AM87" s="10">
        <v>25</v>
      </c>
      <c r="AN87" s="10">
        <v>6</v>
      </c>
      <c r="AO87" s="3">
        <f>SUM(AM87:AN87)</f>
        <v>31</v>
      </c>
      <c r="AP87" s="23">
        <f>394.5/15</f>
        <v>26.3</v>
      </c>
      <c r="AQ87" s="2">
        <v>72</v>
      </c>
      <c r="AR87" s="2">
        <v>13</v>
      </c>
      <c r="AS87" s="3">
        <f>SUM(AQ87:AR87)</f>
        <v>85</v>
      </c>
      <c r="AT87" s="6">
        <f>1109.5/15</f>
        <v>73.966666666666669</v>
      </c>
      <c r="AU87" s="10">
        <v>49</v>
      </c>
      <c r="AV87" s="10">
        <v>13</v>
      </c>
      <c r="AW87" s="3">
        <f>SUM(AU87:AV87)</f>
        <v>62</v>
      </c>
      <c r="AX87" s="23">
        <f>795/15</f>
        <v>53</v>
      </c>
      <c r="AY87" s="2">
        <v>125</v>
      </c>
      <c r="AZ87" s="2">
        <v>11</v>
      </c>
      <c r="BA87" s="3">
        <f>SUM(AY87:AZ87)</f>
        <v>136</v>
      </c>
      <c r="BB87" s="6">
        <f>1927.5/15</f>
        <v>128.5</v>
      </c>
      <c r="BC87" s="10">
        <v>119</v>
      </c>
      <c r="BD87" s="10">
        <v>17</v>
      </c>
      <c r="BE87" s="3">
        <f>SUM(BC87:BD87)</f>
        <v>136</v>
      </c>
      <c r="BF87" s="23">
        <f>1814/15</f>
        <v>120.93333333333334</v>
      </c>
    </row>
    <row r="88" spans="1:147" x14ac:dyDescent="0.2">
      <c r="A88" s="36" t="s">
        <v>66</v>
      </c>
      <c r="B88" s="8" t="s">
        <v>79</v>
      </c>
      <c r="C88" s="2">
        <v>8</v>
      </c>
      <c r="D88" s="2">
        <v>0</v>
      </c>
      <c r="E88" s="3">
        <f>SUM(C88:D88)</f>
        <v>8</v>
      </c>
      <c r="F88" s="6">
        <v>8.5</v>
      </c>
      <c r="G88" s="10"/>
      <c r="H88" s="10"/>
      <c r="I88" s="3">
        <f>SUM(G88:H88)</f>
        <v>0</v>
      </c>
      <c r="J88" s="23"/>
      <c r="K88" s="2">
        <v>13</v>
      </c>
      <c r="L88" s="2">
        <v>0</v>
      </c>
      <c r="M88" s="3">
        <f>SUM(K88:L88)</f>
        <v>13</v>
      </c>
      <c r="N88" s="6">
        <f>222/15</f>
        <v>14.8</v>
      </c>
      <c r="O88" s="10">
        <v>8</v>
      </c>
      <c r="P88" s="10">
        <v>1</v>
      </c>
      <c r="Q88" s="3">
        <f>SUM(O88:P88)</f>
        <v>9</v>
      </c>
      <c r="R88" s="23">
        <v>9</v>
      </c>
      <c r="S88" s="2">
        <v>16</v>
      </c>
      <c r="T88" s="2">
        <v>0</v>
      </c>
      <c r="U88" s="3">
        <f>SUM(S88:T88)</f>
        <v>16</v>
      </c>
      <c r="V88" s="6">
        <f>259/15</f>
        <v>17.266666666666666</v>
      </c>
      <c r="W88" s="10">
        <v>11</v>
      </c>
      <c r="X88" s="10">
        <v>0</v>
      </c>
      <c r="Y88" s="3">
        <f>SUM(W88:X88)</f>
        <v>11</v>
      </c>
      <c r="Z88" s="23">
        <f>165/15</f>
        <v>11</v>
      </c>
      <c r="AA88" s="2">
        <v>12</v>
      </c>
      <c r="AB88" s="2">
        <v>0</v>
      </c>
      <c r="AC88" s="3">
        <f>SUM(AA88:AB88)</f>
        <v>12</v>
      </c>
      <c r="AD88" s="6">
        <f>176/15</f>
        <v>11.733333333333333</v>
      </c>
      <c r="AE88" s="10">
        <v>9</v>
      </c>
      <c r="AF88" s="10">
        <v>2</v>
      </c>
      <c r="AG88" s="3">
        <f>SUM(AE88:AF88)</f>
        <v>11</v>
      </c>
      <c r="AH88" s="23">
        <f>155/15</f>
        <v>10.333333333333334</v>
      </c>
      <c r="AI88" s="2">
        <v>13</v>
      </c>
      <c r="AJ88" s="2">
        <v>1</v>
      </c>
      <c r="AK88" s="3">
        <f>SUM(AI88:AJ88)</f>
        <v>14</v>
      </c>
      <c r="AL88" s="6">
        <f>213/15</f>
        <v>14.2</v>
      </c>
      <c r="AM88" s="10">
        <v>14</v>
      </c>
      <c r="AN88" s="10">
        <v>1</v>
      </c>
      <c r="AO88" s="3">
        <f>SUM(AM88:AN88)</f>
        <v>15</v>
      </c>
      <c r="AP88" s="23">
        <f>224.5/15</f>
        <v>14.966666666666667</v>
      </c>
      <c r="AQ88" s="2">
        <v>14</v>
      </c>
      <c r="AR88" s="2">
        <v>1</v>
      </c>
      <c r="AS88" s="3">
        <f>SUM(AQ88:AR88)</f>
        <v>15</v>
      </c>
      <c r="AT88" s="6">
        <f>231/15</f>
        <v>15.4</v>
      </c>
      <c r="AU88" s="10">
        <v>14</v>
      </c>
      <c r="AV88" s="10">
        <v>2</v>
      </c>
      <c r="AW88" s="3">
        <f>SUM(AU88:AV88)</f>
        <v>16</v>
      </c>
      <c r="AX88" s="23">
        <f>243/15</f>
        <v>16.2</v>
      </c>
      <c r="AY88" s="2">
        <v>11</v>
      </c>
      <c r="AZ88" s="2">
        <v>1</v>
      </c>
      <c r="BA88" s="3">
        <f>SUM(AY88:AZ88)</f>
        <v>12</v>
      </c>
      <c r="BB88" s="6">
        <f>186/15</f>
        <v>12.4</v>
      </c>
      <c r="BC88" s="10">
        <v>10</v>
      </c>
      <c r="BD88" s="10">
        <v>0</v>
      </c>
      <c r="BE88" s="3">
        <f>SUM(BC88:BD88)</f>
        <v>10</v>
      </c>
      <c r="BF88" s="23">
        <f>149/15</f>
        <v>9.9333333333333336</v>
      </c>
    </row>
    <row r="89" spans="1:147" x14ac:dyDescent="0.2">
      <c r="A89" s="36" t="s">
        <v>88</v>
      </c>
      <c r="B89" s="8" t="s">
        <v>95</v>
      </c>
      <c r="C89" s="2">
        <v>838</v>
      </c>
      <c r="D89" s="2">
        <v>279</v>
      </c>
      <c r="E89" s="3">
        <f>SUM(C89:D89)</f>
        <v>1117</v>
      </c>
      <c r="F89" s="6">
        <v>936.2</v>
      </c>
      <c r="G89" s="10"/>
      <c r="H89" s="10"/>
      <c r="I89" s="3">
        <f>SUM(G89:H89)</f>
        <v>0</v>
      </c>
      <c r="J89" s="23"/>
      <c r="K89" s="2">
        <v>909</v>
      </c>
      <c r="L89" s="2">
        <v>312</v>
      </c>
      <c r="M89" s="3">
        <f>SUM(K89:L89)</f>
        <v>1221</v>
      </c>
      <c r="N89" s="6">
        <f>15168.5/15</f>
        <v>1011.2333333333333</v>
      </c>
      <c r="O89" s="10">
        <v>752</v>
      </c>
      <c r="P89" s="10">
        <v>336</v>
      </c>
      <c r="Q89" s="3">
        <f>SUM(O89:P89)</f>
        <v>1088</v>
      </c>
      <c r="R89" s="23">
        <v>877.7</v>
      </c>
      <c r="S89" s="2">
        <v>918</v>
      </c>
      <c r="T89" s="2">
        <v>300</v>
      </c>
      <c r="U89" s="3">
        <f>SUM(S89:T89)</f>
        <v>1218</v>
      </c>
      <c r="V89" s="6">
        <f>15288.5/15</f>
        <v>1019.2333333333333</v>
      </c>
      <c r="W89" s="10">
        <v>801</v>
      </c>
      <c r="X89" s="10">
        <v>277</v>
      </c>
      <c r="Y89" s="3">
        <f>SUM(W89:X89)</f>
        <v>1078</v>
      </c>
      <c r="Z89" s="23">
        <f>13434.5/15</f>
        <v>895.63333333333333</v>
      </c>
      <c r="AA89" s="2">
        <v>923</v>
      </c>
      <c r="AB89" s="2">
        <v>281</v>
      </c>
      <c r="AC89" s="3">
        <f>SUM(AA89:AB89)</f>
        <v>1204</v>
      </c>
      <c r="AD89" s="6">
        <f>15246/15</f>
        <v>1016.4</v>
      </c>
      <c r="AE89" s="10">
        <v>791</v>
      </c>
      <c r="AF89" s="10">
        <v>285</v>
      </c>
      <c r="AG89" s="3">
        <f>SUM(AE89:AF89)</f>
        <v>1076</v>
      </c>
      <c r="AH89" s="23">
        <f>13352/15</f>
        <v>890.13333333333333</v>
      </c>
      <c r="AI89" s="2">
        <v>800</v>
      </c>
      <c r="AJ89" s="2">
        <v>232</v>
      </c>
      <c r="AK89" s="3">
        <f>SUM(AI89:AJ89)</f>
        <v>1032</v>
      </c>
      <c r="AL89" s="6">
        <f>13244.5/15</f>
        <v>882.9666666666667</v>
      </c>
      <c r="AM89" s="10">
        <v>778</v>
      </c>
      <c r="AN89" s="10">
        <v>260</v>
      </c>
      <c r="AO89" s="3">
        <f>SUM(AM89:AN89)</f>
        <v>1038</v>
      </c>
      <c r="AP89" s="23">
        <f>13063/15</f>
        <v>870.86666666666667</v>
      </c>
      <c r="AQ89" s="2">
        <v>763</v>
      </c>
      <c r="AR89" s="2">
        <v>166</v>
      </c>
      <c r="AS89" s="3">
        <f>SUM(AQ89:AR89)</f>
        <v>929</v>
      </c>
      <c r="AT89" s="6">
        <f>12227.5/15</f>
        <v>815.16666666666663</v>
      </c>
      <c r="AU89" s="10">
        <v>714</v>
      </c>
      <c r="AV89" s="10">
        <v>179</v>
      </c>
      <c r="AW89" s="3">
        <f>SUM(AU89:AV89)</f>
        <v>893</v>
      </c>
      <c r="AX89" s="23">
        <f>11496.5/15</f>
        <v>766.43333333333328</v>
      </c>
      <c r="AY89" s="2">
        <v>745</v>
      </c>
      <c r="AZ89" s="2">
        <v>130</v>
      </c>
      <c r="BA89" s="3">
        <f>SUM(AY89:AZ89)</f>
        <v>875</v>
      </c>
      <c r="BB89" s="6">
        <f>11718/15</f>
        <v>781.2</v>
      </c>
      <c r="BC89" s="10">
        <v>646</v>
      </c>
      <c r="BD89" s="10">
        <v>147</v>
      </c>
      <c r="BE89" s="3">
        <f>SUM(BC89:BD89)</f>
        <v>793</v>
      </c>
      <c r="BF89" s="23">
        <f>10508/15</f>
        <v>700.5333333333333</v>
      </c>
    </row>
    <row r="90" spans="1:147" x14ac:dyDescent="0.2">
      <c r="A90" s="36" t="s">
        <v>65</v>
      </c>
      <c r="B90" s="8" t="s">
        <v>78</v>
      </c>
      <c r="C90" s="2">
        <v>14</v>
      </c>
      <c r="D90" s="2">
        <v>4</v>
      </c>
      <c r="E90" s="3">
        <f>SUM(C90:D90)</f>
        <v>18</v>
      </c>
      <c r="F90" s="6">
        <v>15.4</v>
      </c>
      <c r="G90" s="10"/>
      <c r="H90" s="10"/>
      <c r="I90" s="3">
        <f>SUM(G90:H90)</f>
        <v>0</v>
      </c>
      <c r="J90" s="23"/>
      <c r="K90" s="2">
        <v>26</v>
      </c>
      <c r="L90" s="2">
        <v>7</v>
      </c>
      <c r="M90" s="3">
        <f>SUM(K90:L90)</f>
        <v>33</v>
      </c>
      <c r="N90" s="6">
        <f>453/15</f>
        <v>30.2</v>
      </c>
      <c r="O90" s="10">
        <v>15</v>
      </c>
      <c r="P90" s="10">
        <v>5</v>
      </c>
      <c r="Q90" s="3">
        <f>SUM(O90:P90)</f>
        <v>20</v>
      </c>
      <c r="R90" s="23">
        <v>17.899999999999999</v>
      </c>
      <c r="S90" s="2">
        <v>29</v>
      </c>
      <c r="T90" s="2">
        <v>3</v>
      </c>
      <c r="U90" s="3">
        <f>SUM(S90:T90)</f>
        <v>32</v>
      </c>
      <c r="V90" s="6">
        <f>451.5/15</f>
        <v>30.1</v>
      </c>
      <c r="W90" s="10">
        <v>23</v>
      </c>
      <c r="X90" s="10">
        <v>5</v>
      </c>
      <c r="Y90" s="3">
        <f>SUM(W90:X90)</f>
        <v>28</v>
      </c>
      <c r="Z90" s="23">
        <f>385.5/15</f>
        <v>25.7</v>
      </c>
      <c r="AA90" s="2">
        <v>25</v>
      </c>
      <c r="AB90" s="2">
        <v>5</v>
      </c>
      <c r="AC90" s="3">
        <f>SUM(AA90:AB90)</f>
        <v>30</v>
      </c>
      <c r="AD90" s="6">
        <f>403/15</f>
        <v>26.866666666666667</v>
      </c>
      <c r="AE90" s="10">
        <v>21</v>
      </c>
      <c r="AF90" s="10">
        <v>3</v>
      </c>
      <c r="AG90" s="3">
        <f>SUM(AE90:AF90)</f>
        <v>24</v>
      </c>
      <c r="AH90" s="23">
        <f>327/15</f>
        <v>21.8</v>
      </c>
      <c r="AI90" s="2">
        <v>38</v>
      </c>
      <c r="AJ90" s="2">
        <v>4</v>
      </c>
      <c r="AK90" s="3">
        <f>SUM(AI90:AJ90)</f>
        <v>42</v>
      </c>
      <c r="AL90" s="6">
        <f>598/15</f>
        <v>39.866666666666667</v>
      </c>
      <c r="AM90" s="10">
        <v>26</v>
      </c>
      <c r="AN90" s="10">
        <v>3</v>
      </c>
      <c r="AO90" s="3">
        <f>SUM(AM90:AN90)</f>
        <v>29</v>
      </c>
      <c r="AP90" s="23">
        <f>420/15</f>
        <v>28</v>
      </c>
      <c r="AQ90" s="2">
        <v>37</v>
      </c>
      <c r="AR90" s="2">
        <v>6</v>
      </c>
      <c r="AS90" s="3">
        <f>SUM(AQ90:AR90)</f>
        <v>43</v>
      </c>
      <c r="AT90" s="6">
        <f>595/15</f>
        <v>39.666666666666664</v>
      </c>
      <c r="AU90" s="10">
        <v>30</v>
      </c>
      <c r="AV90" s="10">
        <v>7</v>
      </c>
      <c r="AW90" s="3">
        <f>SUM(AU90:AV90)</f>
        <v>37</v>
      </c>
      <c r="AX90" s="23">
        <f>493/15</f>
        <v>32.866666666666667</v>
      </c>
      <c r="AY90" s="2">
        <v>43</v>
      </c>
      <c r="AZ90" s="2">
        <v>7</v>
      </c>
      <c r="BA90" s="3">
        <f>SUM(AY90:AZ90)</f>
        <v>50</v>
      </c>
      <c r="BB90" s="6">
        <f>714/15</f>
        <v>47.6</v>
      </c>
      <c r="BC90" s="10">
        <v>31</v>
      </c>
      <c r="BD90" s="10">
        <v>6</v>
      </c>
      <c r="BE90" s="3">
        <f>SUM(BC90:BD90)</f>
        <v>37</v>
      </c>
      <c r="BF90" s="23">
        <f>505.5/15</f>
        <v>33.700000000000003</v>
      </c>
    </row>
    <row r="91" spans="1:147" x14ac:dyDescent="0.2">
      <c r="A91" s="36" t="s">
        <v>67</v>
      </c>
      <c r="B91" s="8" t="s">
        <v>80</v>
      </c>
      <c r="C91" s="2">
        <v>16</v>
      </c>
      <c r="D91" s="2">
        <v>4</v>
      </c>
      <c r="E91" s="3">
        <f>SUM(C91:D91)</f>
        <v>20</v>
      </c>
      <c r="F91" s="6">
        <v>18.399999999999999</v>
      </c>
      <c r="G91" s="10"/>
      <c r="H91" s="10"/>
      <c r="I91" s="3">
        <f>SUM(G91:H91)</f>
        <v>0</v>
      </c>
      <c r="J91" s="23"/>
      <c r="K91" s="2">
        <v>10</v>
      </c>
      <c r="L91" s="2">
        <v>4</v>
      </c>
      <c r="M91" s="3">
        <f>SUM(K91:L91)</f>
        <v>14</v>
      </c>
      <c r="N91" s="6">
        <f>179/15</f>
        <v>11.933333333333334</v>
      </c>
      <c r="O91" s="10">
        <v>12</v>
      </c>
      <c r="P91" s="10">
        <v>1</v>
      </c>
      <c r="Q91" s="3">
        <f>SUM(O91:P91)</f>
        <v>13</v>
      </c>
      <c r="R91" s="23">
        <v>12.5</v>
      </c>
      <c r="S91" s="2">
        <v>15</v>
      </c>
      <c r="T91" s="2">
        <v>5</v>
      </c>
      <c r="U91" s="3">
        <f>SUM(S91:T91)</f>
        <v>20</v>
      </c>
      <c r="V91" s="6">
        <f>254/15</f>
        <v>16.933333333333334</v>
      </c>
      <c r="W91" s="10">
        <v>13</v>
      </c>
      <c r="X91" s="10">
        <v>4</v>
      </c>
      <c r="Y91" s="3">
        <f>SUM(W91:X91)</f>
        <v>17</v>
      </c>
      <c r="Z91" s="23">
        <f>217/15</f>
        <v>14.466666666666667</v>
      </c>
      <c r="AA91" s="2">
        <v>11</v>
      </c>
      <c r="AB91" s="2">
        <v>3</v>
      </c>
      <c r="AC91" s="3">
        <f>SUM(AA91:AB91)</f>
        <v>14</v>
      </c>
      <c r="AD91" s="6">
        <f>176/15</f>
        <v>11.733333333333333</v>
      </c>
      <c r="AE91" s="10">
        <v>14</v>
      </c>
      <c r="AF91" s="10">
        <v>3</v>
      </c>
      <c r="AG91" s="3">
        <f>SUM(AE91:AF91)</f>
        <v>17</v>
      </c>
      <c r="AH91" s="23">
        <f>218.5/15</f>
        <v>14.566666666666666</v>
      </c>
      <c r="AI91" s="2">
        <v>9</v>
      </c>
      <c r="AJ91" s="2">
        <v>1</v>
      </c>
      <c r="AK91" s="3">
        <f>SUM(AI91:AJ91)</f>
        <v>10</v>
      </c>
      <c r="AL91" s="6">
        <f>135.5/15</f>
        <v>9.0333333333333332</v>
      </c>
      <c r="AM91" s="10">
        <v>6</v>
      </c>
      <c r="AN91" s="10">
        <v>1</v>
      </c>
      <c r="AO91" s="3">
        <f>SUM(AM91:AN91)</f>
        <v>7</v>
      </c>
      <c r="AP91" s="23">
        <f>91/15</f>
        <v>6.0666666666666664</v>
      </c>
      <c r="AQ91" s="2">
        <v>10</v>
      </c>
      <c r="AR91" s="2">
        <v>1</v>
      </c>
      <c r="AS91" s="3">
        <f>SUM(AQ91:AR91)</f>
        <v>11</v>
      </c>
      <c r="AT91" s="6">
        <f>156.5/15</f>
        <v>10.433333333333334</v>
      </c>
      <c r="AU91" s="10">
        <v>8</v>
      </c>
      <c r="AV91" s="10">
        <v>2</v>
      </c>
      <c r="AW91" s="3">
        <f>SUM(AU91:AV91)</f>
        <v>10</v>
      </c>
      <c r="AX91" s="23">
        <f>126/15</f>
        <v>8.4</v>
      </c>
      <c r="AY91" s="2">
        <v>18</v>
      </c>
      <c r="AZ91" s="2">
        <v>1</v>
      </c>
      <c r="BA91" s="3">
        <f>SUM(AY91:AZ91)</f>
        <v>19</v>
      </c>
      <c r="BB91" s="6">
        <f>278.5/15</f>
        <v>18.566666666666666</v>
      </c>
      <c r="BC91" s="10">
        <v>14</v>
      </c>
      <c r="BD91" s="10">
        <v>2</v>
      </c>
      <c r="BE91" s="3">
        <f>SUM(BC91:BD91)</f>
        <v>16</v>
      </c>
      <c r="BF91" s="23">
        <f>235.5/15</f>
        <v>15.7</v>
      </c>
    </row>
    <row r="92" spans="1:147" x14ac:dyDescent="0.2">
      <c r="B92" s="27" t="s">
        <v>7</v>
      </c>
      <c r="C92" s="43">
        <f t="shared" ref="C92:AH92" si="61">SUM(C87:C91)</f>
        <v>880</v>
      </c>
      <c r="D92" s="43">
        <f t="shared" si="61"/>
        <v>288</v>
      </c>
      <c r="E92" s="45">
        <f t="shared" si="61"/>
        <v>1168</v>
      </c>
      <c r="F92" s="39">
        <f t="shared" si="61"/>
        <v>982.2</v>
      </c>
      <c r="G92" s="43">
        <f t="shared" si="61"/>
        <v>0</v>
      </c>
      <c r="H92" s="43">
        <f t="shared" si="61"/>
        <v>0</v>
      </c>
      <c r="I92" s="45">
        <f t="shared" si="61"/>
        <v>0</v>
      </c>
      <c r="J92" s="39">
        <f t="shared" si="61"/>
        <v>0</v>
      </c>
      <c r="K92" s="43">
        <f t="shared" si="61"/>
        <v>965</v>
      </c>
      <c r="L92" s="43">
        <f t="shared" si="61"/>
        <v>324</v>
      </c>
      <c r="M92" s="45">
        <f t="shared" si="61"/>
        <v>1289</v>
      </c>
      <c r="N92" s="39">
        <f t="shared" si="61"/>
        <v>1075.1666666666667</v>
      </c>
      <c r="O92" s="43">
        <f t="shared" si="61"/>
        <v>789</v>
      </c>
      <c r="P92" s="43">
        <f t="shared" si="61"/>
        <v>344</v>
      </c>
      <c r="Q92" s="45">
        <f t="shared" si="61"/>
        <v>1133</v>
      </c>
      <c r="R92" s="39">
        <f t="shared" si="61"/>
        <v>919.9</v>
      </c>
      <c r="S92" s="43">
        <f t="shared" si="61"/>
        <v>989</v>
      </c>
      <c r="T92" s="43">
        <f t="shared" si="61"/>
        <v>313</v>
      </c>
      <c r="U92" s="45">
        <f t="shared" si="61"/>
        <v>1302</v>
      </c>
      <c r="V92" s="39">
        <f t="shared" si="61"/>
        <v>1096.2666666666667</v>
      </c>
      <c r="W92" s="43">
        <f t="shared" si="61"/>
        <v>854</v>
      </c>
      <c r="X92" s="43">
        <f t="shared" si="61"/>
        <v>292</v>
      </c>
      <c r="Y92" s="45">
        <f t="shared" si="61"/>
        <v>1146</v>
      </c>
      <c r="Z92" s="39">
        <f t="shared" si="61"/>
        <v>954.7</v>
      </c>
      <c r="AA92" s="43">
        <f t="shared" si="61"/>
        <v>987</v>
      </c>
      <c r="AB92" s="43">
        <f t="shared" si="61"/>
        <v>294</v>
      </c>
      <c r="AC92" s="45">
        <f t="shared" si="61"/>
        <v>1281</v>
      </c>
      <c r="AD92" s="39">
        <f t="shared" si="61"/>
        <v>1084.0999999999999</v>
      </c>
      <c r="AE92" s="43">
        <f t="shared" si="61"/>
        <v>847</v>
      </c>
      <c r="AF92" s="43">
        <f t="shared" si="61"/>
        <v>296</v>
      </c>
      <c r="AG92" s="45">
        <f t="shared" si="61"/>
        <v>1143</v>
      </c>
      <c r="AH92" s="39">
        <f t="shared" si="61"/>
        <v>950.13333333333333</v>
      </c>
      <c r="AI92" s="43">
        <f t="shared" ref="AI92:BF92" si="62">SUM(AI87:AI91)</f>
        <v>900</v>
      </c>
      <c r="AJ92" s="43">
        <f t="shared" si="62"/>
        <v>251</v>
      </c>
      <c r="AK92" s="45">
        <f t="shared" si="62"/>
        <v>1151</v>
      </c>
      <c r="AL92" s="39">
        <f t="shared" si="62"/>
        <v>986.56666666666672</v>
      </c>
      <c r="AM92" s="43">
        <f t="shared" si="62"/>
        <v>849</v>
      </c>
      <c r="AN92" s="43">
        <f t="shared" si="62"/>
        <v>271</v>
      </c>
      <c r="AO92" s="45">
        <f t="shared" si="62"/>
        <v>1120</v>
      </c>
      <c r="AP92" s="39">
        <f t="shared" si="62"/>
        <v>946.2</v>
      </c>
      <c r="AQ92" s="43">
        <f t="shared" si="62"/>
        <v>896</v>
      </c>
      <c r="AR92" s="43">
        <f t="shared" si="62"/>
        <v>187</v>
      </c>
      <c r="AS92" s="45">
        <f t="shared" si="62"/>
        <v>1083</v>
      </c>
      <c r="AT92" s="39">
        <f t="shared" si="62"/>
        <v>954.63333333333321</v>
      </c>
      <c r="AU92" s="43">
        <f t="shared" si="62"/>
        <v>815</v>
      </c>
      <c r="AV92" s="43">
        <f t="shared" si="62"/>
        <v>203</v>
      </c>
      <c r="AW92" s="45">
        <f t="shared" si="62"/>
        <v>1018</v>
      </c>
      <c r="AX92" s="39">
        <f t="shared" si="62"/>
        <v>876.9</v>
      </c>
      <c r="AY92" s="43">
        <f t="shared" si="62"/>
        <v>942</v>
      </c>
      <c r="AZ92" s="43">
        <f t="shared" si="62"/>
        <v>150</v>
      </c>
      <c r="BA92" s="45">
        <f t="shared" si="62"/>
        <v>1092</v>
      </c>
      <c r="BB92" s="39">
        <f t="shared" si="62"/>
        <v>988.26666666666677</v>
      </c>
      <c r="BC92" s="43">
        <f t="shared" si="62"/>
        <v>820</v>
      </c>
      <c r="BD92" s="43">
        <f t="shared" si="62"/>
        <v>172</v>
      </c>
      <c r="BE92" s="45">
        <f t="shared" si="62"/>
        <v>992</v>
      </c>
      <c r="BF92" s="39">
        <f t="shared" si="62"/>
        <v>880.80000000000007</v>
      </c>
    </row>
    <row r="93" spans="1:147" x14ac:dyDescent="0.2">
      <c r="B93" s="8"/>
      <c r="C93" s="20"/>
      <c r="D93" s="20"/>
      <c r="E93" s="15"/>
      <c r="G93" s="20"/>
      <c r="H93" s="20"/>
      <c r="I93" s="26" t="s">
        <v>8</v>
      </c>
      <c r="J93" s="6">
        <f>(F92+J92)/2</f>
        <v>491.1</v>
      </c>
      <c r="K93" s="20"/>
      <c r="L93" s="20"/>
      <c r="M93" s="15"/>
      <c r="O93" s="20"/>
      <c r="P93" s="20"/>
      <c r="Q93" s="26" t="s">
        <v>8</v>
      </c>
      <c r="R93" s="6">
        <f>(N92+R92)/2</f>
        <v>997.5333333333333</v>
      </c>
      <c r="S93" s="20"/>
      <c r="T93" s="20"/>
      <c r="U93" s="15"/>
      <c r="W93" s="20"/>
      <c r="X93" s="20"/>
      <c r="Y93" s="26" t="s">
        <v>8</v>
      </c>
      <c r="Z93" s="6">
        <f>(V92+Z92)/2</f>
        <v>1025.4833333333333</v>
      </c>
      <c r="AA93" s="20"/>
      <c r="AB93" s="20"/>
      <c r="AC93" s="15"/>
      <c r="AE93" s="20"/>
      <c r="AF93" s="20"/>
      <c r="AG93" s="26" t="s">
        <v>8</v>
      </c>
      <c r="AH93" s="6">
        <f>(AD92+AH92)/2</f>
        <v>1017.1166666666666</v>
      </c>
      <c r="AI93" s="20"/>
      <c r="AJ93" s="20"/>
      <c r="AK93" s="15"/>
      <c r="AM93" s="20"/>
      <c r="AN93" s="20"/>
      <c r="AO93" s="26" t="s">
        <v>8</v>
      </c>
      <c r="AP93" s="6">
        <f>(AL92+AP92)/2</f>
        <v>966.38333333333344</v>
      </c>
      <c r="AQ93" s="20"/>
      <c r="AR93" s="20"/>
      <c r="AS93" s="15"/>
      <c r="AU93" s="20"/>
      <c r="AV93" s="20"/>
      <c r="AW93" s="26" t="s">
        <v>8</v>
      </c>
      <c r="AX93" s="6">
        <f>(AT92+AX92)/2</f>
        <v>915.76666666666665</v>
      </c>
      <c r="AY93" s="20"/>
      <c r="AZ93" s="20"/>
      <c r="BA93" s="15"/>
      <c r="BC93" s="20"/>
      <c r="BD93" s="20"/>
      <c r="BE93" s="26" t="s">
        <v>8</v>
      </c>
      <c r="BF93" s="6">
        <f>(BB92+BF92)/2</f>
        <v>934.53333333333342</v>
      </c>
    </row>
    <row r="94" spans="1:147" x14ac:dyDescent="0.2">
      <c r="B94" s="4"/>
      <c r="E94" s="7"/>
      <c r="G94" s="2"/>
      <c r="H94" s="2"/>
      <c r="I94" s="7"/>
      <c r="J94" s="6"/>
      <c r="M94" s="7"/>
      <c r="O94" s="2"/>
      <c r="P94" s="2"/>
      <c r="Q94" s="7"/>
      <c r="R94" s="6"/>
      <c r="U94" s="7"/>
      <c r="W94" s="2"/>
      <c r="X94" s="2"/>
      <c r="Y94" s="7"/>
      <c r="Z94" s="6"/>
      <c r="AC94" s="7"/>
      <c r="AE94" s="2"/>
      <c r="AF94" s="2"/>
      <c r="AG94" s="7"/>
      <c r="AH94" s="6"/>
      <c r="AK94" s="7"/>
      <c r="AM94" s="2"/>
      <c r="AN94" s="2"/>
      <c r="AO94" s="7"/>
      <c r="AP94" s="6"/>
      <c r="AS94" s="7"/>
      <c r="AU94" s="2"/>
      <c r="AV94" s="2"/>
      <c r="AW94" s="7"/>
      <c r="AX94" s="6"/>
      <c r="BA94" s="7"/>
      <c r="BC94" s="2"/>
      <c r="BD94" s="2"/>
      <c r="BE94" s="7"/>
      <c r="BF94" s="6"/>
    </row>
    <row r="95" spans="1:147" x14ac:dyDescent="0.2">
      <c r="B95" s="8"/>
      <c r="E95" s="3" t="s">
        <v>263</v>
      </c>
      <c r="F95" s="21"/>
      <c r="I95" s="3" t="s">
        <v>264</v>
      </c>
      <c r="J95" s="6"/>
      <c r="M95" s="3" t="s">
        <v>232</v>
      </c>
      <c r="N95" s="21"/>
      <c r="Q95" s="3" t="s">
        <v>233</v>
      </c>
      <c r="R95" s="6"/>
      <c r="U95" s="3" t="s">
        <v>225</v>
      </c>
      <c r="V95" s="21"/>
      <c r="Y95" s="3" t="s">
        <v>226</v>
      </c>
      <c r="Z95" s="6"/>
      <c r="AC95" s="3" t="s">
        <v>221</v>
      </c>
      <c r="AD95" s="21"/>
      <c r="AG95" s="3" t="s">
        <v>222</v>
      </c>
      <c r="AH95" s="6"/>
      <c r="AK95" s="3" t="s">
        <v>215</v>
      </c>
      <c r="AL95" s="21"/>
      <c r="AO95" s="3" t="s">
        <v>216</v>
      </c>
      <c r="AP95" s="6"/>
      <c r="AS95" s="3" t="s">
        <v>209</v>
      </c>
      <c r="AT95" s="21"/>
      <c r="AW95" s="3" t="s">
        <v>210</v>
      </c>
      <c r="AX95" s="6"/>
      <c r="BA95" s="3" t="s">
        <v>205</v>
      </c>
      <c r="BB95" s="21"/>
      <c r="BE95" s="3" t="s">
        <v>206</v>
      </c>
      <c r="BF95" s="6"/>
    </row>
    <row r="96" spans="1:147" x14ac:dyDescent="0.2">
      <c r="B96" s="4" t="s">
        <v>242</v>
      </c>
      <c r="C96" s="2" t="s">
        <v>0</v>
      </c>
      <c r="D96" s="2" t="s">
        <v>1</v>
      </c>
      <c r="E96" s="7" t="s">
        <v>5</v>
      </c>
      <c r="F96" s="6" t="s">
        <v>6</v>
      </c>
      <c r="G96" s="2" t="s">
        <v>0</v>
      </c>
      <c r="H96" s="2" t="s">
        <v>1</v>
      </c>
      <c r="I96" s="7" t="s">
        <v>5</v>
      </c>
      <c r="J96" s="6" t="s">
        <v>6</v>
      </c>
      <c r="K96" s="2" t="s">
        <v>0</v>
      </c>
      <c r="L96" s="2" t="s">
        <v>1</v>
      </c>
      <c r="M96" s="7" t="s">
        <v>5</v>
      </c>
      <c r="N96" s="6" t="s">
        <v>6</v>
      </c>
      <c r="O96" s="2" t="s">
        <v>0</v>
      </c>
      <c r="P96" s="2" t="s">
        <v>1</v>
      </c>
      <c r="Q96" s="7" t="s">
        <v>5</v>
      </c>
      <c r="R96" s="6" t="s">
        <v>6</v>
      </c>
      <c r="S96" s="2" t="s">
        <v>0</v>
      </c>
      <c r="T96" s="2" t="s">
        <v>1</v>
      </c>
      <c r="U96" s="7" t="s">
        <v>5</v>
      </c>
      <c r="V96" s="6" t="s">
        <v>6</v>
      </c>
      <c r="W96" s="2" t="s">
        <v>0</v>
      </c>
      <c r="X96" s="2" t="s">
        <v>1</v>
      </c>
      <c r="Y96" s="7" t="s">
        <v>5</v>
      </c>
      <c r="Z96" s="6" t="s">
        <v>6</v>
      </c>
      <c r="AA96" s="2" t="s">
        <v>0</v>
      </c>
      <c r="AB96" s="2" t="s">
        <v>1</v>
      </c>
      <c r="AC96" s="7" t="s">
        <v>5</v>
      </c>
      <c r="AD96" s="6" t="s">
        <v>6</v>
      </c>
      <c r="AE96" s="2" t="s">
        <v>0</v>
      </c>
      <c r="AF96" s="2" t="s">
        <v>1</v>
      </c>
      <c r="AG96" s="7" t="s">
        <v>5</v>
      </c>
      <c r="AH96" s="6" t="s">
        <v>6</v>
      </c>
      <c r="AI96" s="2" t="s">
        <v>0</v>
      </c>
      <c r="AJ96" s="2" t="s">
        <v>1</v>
      </c>
      <c r="AK96" s="7" t="s">
        <v>5</v>
      </c>
      <c r="AL96" s="6" t="s">
        <v>6</v>
      </c>
      <c r="AM96" s="2" t="s">
        <v>0</v>
      </c>
      <c r="AN96" s="2" t="s">
        <v>1</v>
      </c>
      <c r="AO96" s="7" t="s">
        <v>5</v>
      </c>
      <c r="AP96" s="6" t="s">
        <v>6</v>
      </c>
      <c r="AQ96" s="2" t="s">
        <v>0</v>
      </c>
      <c r="AR96" s="2" t="s">
        <v>1</v>
      </c>
      <c r="AS96" s="7" t="s">
        <v>5</v>
      </c>
      <c r="AT96" s="6" t="s">
        <v>6</v>
      </c>
      <c r="AU96" s="2" t="s">
        <v>0</v>
      </c>
      <c r="AV96" s="2" t="s">
        <v>1</v>
      </c>
      <c r="AW96" s="7" t="s">
        <v>5</v>
      </c>
      <c r="AX96" s="6" t="s">
        <v>6</v>
      </c>
      <c r="AY96" s="2" t="s">
        <v>0</v>
      </c>
      <c r="AZ96" s="2" t="s">
        <v>1</v>
      </c>
      <c r="BA96" s="7" t="s">
        <v>5</v>
      </c>
      <c r="BB96" s="6" t="s">
        <v>6</v>
      </c>
      <c r="BC96" s="2" t="s">
        <v>0</v>
      </c>
      <c r="BD96" s="2" t="s">
        <v>1</v>
      </c>
      <c r="BE96" s="7" t="s">
        <v>5</v>
      </c>
      <c r="BF96" s="6" t="s">
        <v>6</v>
      </c>
    </row>
    <row r="97" spans="1:147" s="8" customFormat="1" x14ac:dyDescent="0.2">
      <c r="A97" s="36" t="s">
        <v>151</v>
      </c>
      <c r="B97" s="8" t="s">
        <v>243</v>
      </c>
      <c r="C97" s="2">
        <v>2</v>
      </c>
      <c r="D97" s="2">
        <v>1</v>
      </c>
      <c r="E97" s="3">
        <f t="shared" ref="E97:E102" si="63">SUM(C97:D97)</f>
        <v>3</v>
      </c>
      <c r="F97" s="6">
        <v>2.5</v>
      </c>
      <c r="G97" s="10"/>
      <c r="H97" s="10"/>
      <c r="I97" s="3">
        <f t="shared" ref="I97:I102" si="64">SUM(G97:H97)</f>
        <v>0</v>
      </c>
      <c r="J97" s="23"/>
      <c r="K97" s="2">
        <v>5</v>
      </c>
      <c r="L97" s="2">
        <v>3</v>
      </c>
      <c r="M97" s="3">
        <f t="shared" ref="M97:M102" si="65">SUM(K97:L97)</f>
        <v>8</v>
      </c>
      <c r="N97" s="6">
        <f>121/15</f>
        <v>8.0666666666666664</v>
      </c>
      <c r="O97" s="10">
        <v>5</v>
      </c>
      <c r="P97" s="10">
        <v>5</v>
      </c>
      <c r="Q97" s="3">
        <f t="shared" ref="Q97:Q102" si="66">SUM(O97:P97)</f>
        <v>10</v>
      </c>
      <c r="R97" s="23">
        <v>7.5</v>
      </c>
      <c r="S97" s="2">
        <v>10</v>
      </c>
      <c r="T97" s="2">
        <v>5</v>
      </c>
      <c r="U97" s="3">
        <f t="shared" ref="U97:U102" si="67">SUM(S97:T97)</f>
        <v>15</v>
      </c>
      <c r="V97" s="6">
        <f>194/15</f>
        <v>12.933333333333334</v>
      </c>
      <c r="W97" s="10">
        <v>12</v>
      </c>
      <c r="X97" s="10">
        <v>0</v>
      </c>
      <c r="Y97" s="3">
        <f t="shared" ref="Y97:Y102" si="68">SUM(W97:X97)</f>
        <v>12</v>
      </c>
      <c r="Z97" s="23">
        <f>168.5/15</f>
        <v>11.233333333333333</v>
      </c>
      <c r="AA97" s="2">
        <v>9</v>
      </c>
      <c r="AB97" s="2">
        <v>5</v>
      </c>
      <c r="AC97" s="3">
        <f t="shared" ref="AC97:AC102" si="69">SUM(AA97:AB97)</f>
        <v>14</v>
      </c>
      <c r="AD97" s="6">
        <f>175/15</f>
        <v>11.666666666666666</v>
      </c>
      <c r="AE97" s="10">
        <v>13</v>
      </c>
      <c r="AF97" s="10">
        <v>2</v>
      </c>
      <c r="AG97" s="3">
        <f t="shared" ref="AG97:AG102" si="70">SUM(AE97:AF97)</f>
        <v>15</v>
      </c>
      <c r="AH97" s="23">
        <f>205.5/15</f>
        <v>13.7</v>
      </c>
      <c r="AI97" s="2">
        <v>8</v>
      </c>
      <c r="AJ97" s="2">
        <v>2</v>
      </c>
      <c r="AK97" s="3">
        <f t="shared" ref="AK97:AK102" si="71">SUM(AI97:AJ97)</f>
        <v>10</v>
      </c>
      <c r="AL97" s="6">
        <f>137/15</f>
        <v>9.1333333333333329</v>
      </c>
      <c r="AM97" s="10">
        <v>7</v>
      </c>
      <c r="AN97" s="10">
        <v>2</v>
      </c>
      <c r="AO97" s="3">
        <f t="shared" ref="AO97:AO102" si="72">SUM(AM97:AN97)</f>
        <v>9</v>
      </c>
      <c r="AP97" s="23">
        <f>121/15</f>
        <v>8.0666666666666664</v>
      </c>
      <c r="AQ97" s="2">
        <v>8</v>
      </c>
      <c r="AR97" s="2">
        <v>2</v>
      </c>
      <c r="AS97" s="3">
        <f t="shared" ref="AS97:AS102" si="73">SUM(AQ97:AR97)</f>
        <v>10</v>
      </c>
      <c r="AT97" s="6">
        <f>134/15</f>
        <v>8.9333333333333336</v>
      </c>
      <c r="AU97" s="10">
        <v>12</v>
      </c>
      <c r="AV97" s="10">
        <v>0</v>
      </c>
      <c r="AW97" s="3">
        <f t="shared" ref="AW97:AW102" si="74">SUM(AU97:AV97)</f>
        <v>12</v>
      </c>
      <c r="AX97" s="23">
        <f>180/15</f>
        <v>12</v>
      </c>
      <c r="AY97" s="2">
        <v>5</v>
      </c>
      <c r="AZ97" s="2">
        <v>0</v>
      </c>
      <c r="BA97" s="3">
        <f t="shared" ref="BA97:BA102" si="75">SUM(AY97:AZ97)</f>
        <v>5</v>
      </c>
      <c r="BB97" s="6">
        <f>71.5/15</f>
        <v>4.7666666666666666</v>
      </c>
      <c r="BC97" s="10">
        <v>6</v>
      </c>
      <c r="BD97" s="10">
        <v>1</v>
      </c>
      <c r="BE97" s="3">
        <f t="shared" ref="BE97:BE102" si="76">SUM(BC97:BD97)</f>
        <v>7</v>
      </c>
      <c r="BF97" s="23">
        <f>94.5/15</f>
        <v>6.3</v>
      </c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</row>
    <row r="98" spans="1:147" x14ac:dyDescent="0.2">
      <c r="A98" s="36" t="s">
        <v>105</v>
      </c>
      <c r="B98" s="8" t="s">
        <v>124</v>
      </c>
      <c r="C98" s="2">
        <v>0</v>
      </c>
      <c r="D98" s="2">
        <v>0</v>
      </c>
      <c r="E98" s="3">
        <f t="shared" si="63"/>
        <v>0</v>
      </c>
      <c r="F98" s="6">
        <v>0</v>
      </c>
      <c r="G98" s="10"/>
      <c r="H98" s="10"/>
      <c r="I98" s="3">
        <f t="shared" si="64"/>
        <v>0</v>
      </c>
      <c r="J98" s="23"/>
      <c r="K98" s="2">
        <v>1</v>
      </c>
      <c r="L98" s="2">
        <v>0</v>
      </c>
      <c r="M98" s="3">
        <f t="shared" si="65"/>
        <v>1</v>
      </c>
      <c r="N98" s="6">
        <f>13/15</f>
        <v>0.8666666666666667</v>
      </c>
      <c r="O98" s="10">
        <v>1</v>
      </c>
      <c r="P98" s="10">
        <v>0</v>
      </c>
      <c r="Q98" s="3">
        <f t="shared" si="66"/>
        <v>1</v>
      </c>
      <c r="R98" s="23">
        <v>1.1000000000000001</v>
      </c>
      <c r="S98" s="2">
        <v>10</v>
      </c>
      <c r="T98" s="2">
        <v>4</v>
      </c>
      <c r="U98" s="3">
        <f t="shared" si="67"/>
        <v>14</v>
      </c>
      <c r="V98" s="6">
        <f>170.5/15</f>
        <v>11.366666666666667</v>
      </c>
      <c r="W98" s="10">
        <v>4</v>
      </c>
      <c r="X98" s="10">
        <v>1</v>
      </c>
      <c r="Y98" s="3">
        <f t="shared" si="68"/>
        <v>5</v>
      </c>
      <c r="Z98" s="23">
        <f>65/15</f>
        <v>4.333333333333333</v>
      </c>
      <c r="AA98" s="2">
        <v>30</v>
      </c>
      <c r="AB98" s="2">
        <v>4</v>
      </c>
      <c r="AC98" s="3">
        <f t="shared" si="69"/>
        <v>34</v>
      </c>
      <c r="AD98" s="6">
        <f>479/15</f>
        <v>31.933333333333334</v>
      </c>
      <c r="AE98" s="10">
        <v>22</v>
      </c>
      <c r="AF98" s="10">
        <v>5</v>
      </c>
      <c r="AG98" s="3">
        <f t="shared" si="70"/>
        <v>27</v>
      </c>
      <c r="AH98" s="23">
        <f>378.5/15</f>
        <v>25.233333333333334</v>
      </c>
      <c r="AI98" s="2">
        <v>22</v>
      </c>
      <c r="AJ98" s="2">
        <v>3</v>
      </c>
      <c r="AK98" s="3">
        <f t="shared" si="71"/>
        <v>25</v>
      </c>
      <c r="AL98" s="6">
        <f>345/15</f>
        <v>23</v>
      </c>
      <c r="AM98" s="10">
        <v>23</v>
      </c>
      <c r="AN98" s="10">
        <v>5</v>
      </c>
      <c r="AO98" s="3">
        <f t="shared" si="72"/>
        <v>28</v>
      </c>
      <c r="AP98" s="23">
        <f>392/15</f>
        <v>26.133333333333333</v>
      </c>
      <c r="AQ98" s="2">
        <v>25</v>
      </c>
      <c r="AR98" s="2">
        <v>3</v>
      </c>
      <c r="AS98" s="3">
        <f t="shared" si="73"/>
        <v>28</v>
      </c>
      <c r="AT98" s="6">
        <f>401.5/15</f>
        <v>26.766666666666666</v>
      </c>
      <c r="AU98" s="10">
        <v>19</v>
      </c>
      <c r="AV98" s="10">
        <v>6</v>
      </c>
      <c r="AW98" s="3">
        <f t="shared" si="74"/>
        <v>25</v>
      </c>
      <c r="AX98" s="23">
        <f>326/15</f>
        <v>21.733333333333334</v>
      </c>
      <c r="AY98" s="2">
        <v>26</v>
      </c>
      <c r="AZ98" s="2">
        <v>3</v>
      </c>
      <c r="BA98" s="3">
        <f t="shared" si="75"/>
        <v>29</v>
      </c>
      <c r="BB98" s="6">
        <f>426.5/15</f>
        <v>28.433333333333334</v>
      </c>
      <c r="BC98" s="10">
        <v>25</v>
      </c>
      <c r="BD98" s="10">
        <v>3</v>
      </c>
      <c r="BE98" s="3">
        <f t="shared" si="76"/>
        <v>28</v>
      </c>
      <c r="BF98" s="23">
        <f>418/15</f>
        <v>27.866666666666667</v>
      </c>
    </row>
    <row r="99" spans="1:147" x14ac:dyDescent="0.2">
      <c r="A99" s="37" t="s">
        <v>152</v>
      </c>
      <c r="B99" s="8" t="s">
        <v>244</v>
      </c>
      <c r="C99" s="5">
        <v>7</v>
      </c>
      <c r="D99" s="5">
        <v>2</v>
      </c>
      <c r="E99" s="7">
        <f t="shared" si="63"/>
        <v>9</v>
      </c>
      <c r="F99" s="6">
        <v>7.9</v>
      </c>
      <c r="G99" s="5"/>
      <c r="H99" s="5"/>
      <c r="I99" s="7">
        <f t="shared" si="64"/>
        <v>0</v>
      </c>
      <c r="J99" s="23"/>
      <c r="K99" s="5">
        <v>7</v>
      </c>
      <c r="L99" s="5">
        <v>3</v>
      </c>
      <c r="M99" s="7">
        <f t="shared" si="65"/>
        <v>10</v>
      </c>
      <c r="N99" s="6">
        <f>129/15</f>
        <v>8.6</v>
      </c>
      <c r="O99" s="5">
        <v>7</v>
      </c>
      <c r="P99" s="5">
        <v>4</v>
      </c>
      <c r="Q99" s="7">
        <f t="shared" si="66"/>
        <v>11</v>
      </c>
      <c r="R99" s="23">
        <v>9.3000000000000007</v>
      </c>
      <c r="S99" s="5">
        <v>14</v>
      </c>
      <c r="T99" s="5">
        <v>5</v>
      </c>
      <c r="U99" s="7">
        <f t="shared" si="67"/>
        <v>19</v>
      </c>
      <c r="V99" s="6">
        <f>258.5/15</f>
        <v>17.233333333333334</v>
      </c>
      <c r="W99" s="5">
        <v>13</v>
      </c>
      <c r="X99" s="5">
        <v>4</v>
      </c>
      <c r="Y99" s="7">
        <f t="shared" si="68"/>
        <v>17</v>
      </c>
      <c r="Z99" s="23">
        <f>222.5/15</f>
        <v>14.833333333333334</v>
      </c>
      <c r="AA99" s="5">
        <v>12</v>
      </c>
      <c r="AB99" s="5">
        <v>1</v>
      </c>
      <c r="AC99" s="7">
        <f t="shared" si="69"/>
        <v>13</v>
      </c>
      <c r="AD99" s="6">
        <f>192/15</f>
        <v>12.8</v>
      </c>
      <c r="AE99" s="5">
        <v>13</v>
      </c>
      <c r="AF99" s="5">
        <v>1</v>
      </c>
      <c r="AG99" s="7">
        <f t="shared" si="70"/>
        <v>14</v>
      </c>
      <c r="AH99" s="23">
        <f>202.5/15</f>
        <v>13.5</v>
      </c>
      <c r="AI99" s="5">
        <v>14</v>
      </c>
      <c r="AJ99" s="5">
        <v>0</v>
      </c>
      <c r="AK99" s="7">
        <f t="shared" si="71"/>
        <v>14</v>
      </c>
      <c r="AL99" s="6">
        <f>199/15</f>
        <v>13.266666666666667</v>
      </c>
      <c r="AM99" s="5">
        <v>7</v>
      </c>
      <c r="AN99" s="5">
        <v>1</v>
      </c>
      <c r="AO99" s="7">
        <f t="shared" si="72"/>
        <v>8</v>
      </c>
      <c r="AP99" s="23">
        <f>112/15</f>
        <v>7.4666666666666668</v>
      </c>
      <c r="AQ99" s="5">
        <v>10</v>
      </c>
      <c r="AR99" s="5">
        <v>0</v>
      </c>
      <c r="AS99" s="7">
        <f t="shared" si="73"/>
        <v>10</v>
      </c>
      <c r="AT99" s="6">
        <f>160.5/15</f>
        <v>10.7</v>
      </c>
      <c r="AU99" s="5">
        <v>10</v>
      </c>
      <c r="AV99" s="5">
        <v>2</v>
      </c>
      <c r="AW99" s="7">
        <f t="shared" si="74"/>
        <v>12</v>
      </c>
      <c r="AX99" s="23">
        <f>159.5/15</f>
        <v>10.633333333333333</v>
      </c>
      <c r="AY99" s="5">
        <v>16</v>
      </c>
      <c r="AZ99" s="5">
        <v>0</v>
      </c>
      <c r="BA99" s="7">
        <f t="shared" si="75"/>
        <v>16</v>
      </c>
      <c r="BB99" s="6">
        <f>236/15</f>
        <v>15.733333333333333</v>
      </c>
      <c r="BC99" s="5">
        <v>10</v>
      </c>
      <c r="BD99" s="5">
        <v>2</v>
      </c>
      <c r="BE99" s="7">
        <f t="shared" si="76"/>
        <v>12</v>
      </c>
      <c r="BF99" s="23">
        <f>163/15</f>
        <v>10.866666666666667</v>
      </c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</row>
    <row r="100" spans="1:147" x14ac:dyDescent="0.2">
      <c r="A100" s="36" t="s">
        <v>104</v>
      </c>
      <c r="B100" s="8" t="s">
        <v>123</v>
      </c>
      <c r="C100" s="2">
        <v>58</v>
      </c>
      <c r="D100" s="2">
        <v>7</v>
      </c>
      <c r="E100" s="3">
        <f t="shared" si="63"/>
        <v>65</v>
      </c>
      <c r="F100" s="6">
        <v>62.5</v>
      </c>
      <c r="G100" s="10"/>
      <c r="H100" s="10"/>
      <c r="I100" s="3">
        <f t="shared" si="64"/>
        <v>0</v>
      </c>
      <c r="J100" s="23"/>
      <c r="K100" s="2">
        <v>69</v>
      </c>
      <c r="L100" s="2">
        <v>8</v>
      </c>
      <c r="M100" s="3">
        <f t="shared" si="65"/>
        <v>77</v>
      </c>
      <c r="N100" s="6">
        <f>1114/15</f>
        <v>74.266666666666666</v>
      </c>
      <c r="O100" s="10">
        <v>52</v>
      </c>
      <c r="P100" s="10">
        <v>14</v>
      </c>
      <c r="Q100" s="3">
        <f t="shared" si="66"/>
        <v>66</v>
      </c>
      <c r="R100" s="23">
        <v>59.5</v>
      </c>
      <c r="S100" s="2">
        <v>104</v>
      </c>
      <c r="T100" s="2">
        <v>11</v>
      </c>
      <c r="U100" s="3">
        <f t="shared" si="67"/>
        <v>115</v>
      </c>
      <c r="V100" s="6">
        <f>1612.5/15</f>
        <v>107.5</v>
      </c>
      <c r="W100" s="10">
        <v>89</v>
      </c>
      <c r="X100" s="10">
        <v>13</v>
      </c>
      <c r="Y100" s="3">
        <f t="shared" si="68"/>
        <v>102</v>
      </c>
      <c r="Z100" s="23">
        <f>1459.5/15</f>
        <v>97.3</v>
      </c>
      <c r="AA100" s="2">
        <v>81</v>
      </c>
      <c r="AB100" s="2">
        <v>23</v>
      </c>
      <c r="AC100" s="3">
        <f t="shared" si="69"/>
        <v>104</v>
      </c>
      <c r="AD100" s="6">
        <f>1425.5/15</f>
        <v>95.033333333333331</v>
      </c>
      <c r="AE100" s="10">
        <v>72</v>
      </c>
      <c r="AF100" s="10">
        <v>16</v>
      </c>
      <c r="AG100" s="3">
        <f t="shared" si="70"/>
        <v>88</v>
      </c>
      <c r="AH100" s="23">
        <f>1202/15</f>
        <v>80.13333333333334</v>
      </c>
      <c r="AI100" s="2">
        <v>96</v>
      </c>
      <c r="AJ100" s="2">
        <v>23</v>
      </c>
      <c r="AK100" s="3">
        <f t="shared" si="71"/>
        <v>119</v>
      </c>
      <c r="AL100" s="6">
        <f>(1555+17+12.5)/15</f>
        <v>105.63333333333334</v>
      </c>
      <c r="AM100" s="10">
        <v>80</v>
      </c>
      <c r="AN100" s="10">
        <v>21</v>
      </c>
      <c r="AO100" s="3">
        <f t="shared" si="72"/>
        <v>101</v>
      </c>
      <c r="AP100" s="23">
        <f>1323/15</f>
        <v>88.2</v>
      </c>
      <c r="AQ100" s="2">
        <v>105</v>
      </c>
      <c r="AR100" s="2">
        <v>15</v>
      </c>
      <c r="AS100" s="3">
        <f t="shared" si="73"/>
        <v>120</v>
      </c>
      <c r="AT100" s="6">
        <f>1707.5/15</f>
        <v>113.83333333333333</v>
      </c>
      <c r="AU100" s="10">
        <v>93</v>
      </c>
      <c r="AV100" s="10">
        <v>14</v>
      </c>
      <c r="AW100" s="3">
        <f t="shared" si="74"/>
        <v>107</v>
      </c>
      <c r="AX100" s="23">
        <f>(1467+13)/15</f>
        <v>98.666666666666671</v>
      </c>
      <c r="AY100" s="2">
        <v>109</v>
      </c>
      <c r="AZ100" s="2">
        <v>12</v>
      </c>
      <c r="BA100" s="3">
        <f t="shared" si="75"/>
        <v>121</v>
      </c>
      <c r="BB100" s="6">
        <f>1790.5/15</f>
        <v>119.36666666666666</v>
      </c>
      <c r="BC100" s="10">
        <v>80</v>
      </c>
      <c r="BD100" s="10">
        <v>11</v>
      </c>
      <c r="BE100" s="3">
        <f t="shared" si="76"/>
        <v>91</v>
      </c>
      <c r="BF100" s="23">
        <f>1290.5/15</f>
        <v>86.033333333333331</v>
      </c>
    </row>
    <row r="101" spans="1:147" x14ac:dyDescent="0.2">
      <c r="A101" s="36" t="s">
        <v>107</v>
      </c>
      <c r="B101" s="8" t="s">
        <v>126</v>
      </c>
      <c r="C101" s="2">
        <v>43</v>
      </c>
      <c r="D101" s="2">
        <v>11</v>
      </c>
      <c r="E101" s="3">
        <f t="shared" si="63"/>
        <v>54</v>
      </c>
      <c r="F101" s="6">
        <v>49</v>
      </c>
      <c r="G101" s="10"/>
      <c r="H101" s="10"/>
      <c r="I101" s="3">
        <f t="shared" si="64"/>
        <v>0</v>
      </c>
      <c r="J101" s="23"/>
      <c r="K101" s="2">
        <v>55</v>
      </c>
      <c r="L101" s="2">
        <v>10</v>
      </c>
      <c r="M101" s="3">
        <f t="shared" si="65"/>
        <v>65</v>
      </c>
      <c r="N101" s="6">
        <f>895/15</f>
        <v>59.666666666666664</v>
      </c>
      <c r="O101" s="10">
        <v>43</v>
      </c>
      <c r="P101" s="10">
        <v>13</v>
      </c>
      <c r="Q101" s="3">
        <f t="shared" si="66"/>
        <v>56</v>
      </c>
      <c r="R101" s="23">
        <v>50.6</v>
      </c>
      <c r="S101" s="2">
        <v>24</v>
      </c>
      <c r="T101" s="2">
        <v>9</v>
      </c>
      <c r="U101" s="3">
        <f t="shared" si="67"/>
        <v>33</v>
      </c>
      <c r="V101" s="6">
        <f>424.5/15</f>
        <v>28.3</v>
      </c>
      <c r="W101" s="10">
        <v>27</v>
      </c>
      <c r="X101" s="10">
        <v>11</v>
      </c>
      <c r="Y101" s="3">
        <f t="shared" si="68"/>
        <v>38</v>
      </c>
      <c r="Z101" s="23">
        <f>453/15</f>
        <v>30.2</v>
      </c>
      <c r="AA101" s="2">
        <v>31</v>
      </c>
      <c r="AB101" s="2">
        <v>7</v>
      </c>
      <c r="AC101" s="3">
        <f t="shared" si="69"/>
        <v>38</v>
      </c>
      <c r="AD101" s="6">
        <f>501.5/15</f>
        <v>33.43333333333333</v>
      </c>
      <c r="AE101" s="10">
        <v>26</v>
      </c>
      <c r="AF101" s="10">
        <v>5</v>
      </c>
      <c r="AG101" s="3">
        <f t="shared" si="70"/>
        <v>31</v>
      </c>
      <c r="AH101" s="23">
        <f>428/15</f>
        <v>28.533333333333335</v>
      </c>
      <c r="AI101" s="2">
        <v>35</v>
      </c>
      <c r="AJ101" s="2">
        <v>13</v>
      </c>
      <c r="AK101" s="3">
        <f t="shared" si="71"/>
        <v>48</v>
      </c>
      <c r="AL101" s="6">
        <f>(588.5+25)/15</f>
        <v>40.9</v>
      </c>
      <c r="AM101" s="10">
        <v>29</v>
      </c>
      <c r="AN101" s="10">
        <v>11</v>
      </c>
      <c r="AO101" s="3">
        <f t="shared" si="72"/>
        <v>40</v>
      </c>
      <c r="AP101" s="23">
        <f>490.5/15</f>
        <v>32.700000000000003</v>
      </c>
      <c r="AQ101" s="2">
        <v>43</v>
      </c>
      <c r="AR101" s="2">
        <v>10</v>
      </c>
      <c r="AS101" s="3">
        <f t="shared" si="73"/>
        <v>53</v>
      </c>
      <c r="AT101" s="6">
        <f>688.5/15</f>
        <v>45.9</v>
      </c>
      <c r="AU101" s="10">
        <v>50</v>
      </c>
      <c r="AV101" s="10">
        <v>9</v>
      </c>
      <c r="AW101" s="3">
        <f t="shared" si="74"/>
        <v>59</v>
      </c>
      <c r="AX101" s="23">
        <f>787/15</f>
        <v>52.466666666666669</v>
      </c>
      <c r="AY101" s="2">
        <v>36</v>
      </c>
      <c r="AZ101" s="2">
        <v>3</v>
      </c>
      <c r="BA101" s="3">
        <f t="shared" si="75"/>
        <v>39</v>
      </c>
      <c r="BB101" s="6">
        <f>549/15</f>
        <v>36.6</v>
      </c>
      <c r="BC101" s="10">
        <v>38</v>
      </c>
      <c r="BD101" s="10">
        <v>4</v>
      </c>
      <c r="BE101" s="3">
        <f t="shared" si="76"/>
        <v>42</v>
      </c>
      <c r="BF101" s="23">
        <f>569.5/15</f>
        <v>37.966666666666669</v>
      </c>
    </row>
    <row r="102" spans="1:147" s="8" customFormat="1" x14ac:dyDescent="0.2">
      <c r="A102" s="37" t="s">
        <v>112</v>
      </c>
      <c r="B102" s="8" t="s">
        <v>131</v>
      </c>
      <c r="C102" s="5">
        <v>11</v>
      </c>
      <c r="D102" s="5">
        <v>2</v>
      </c>
      <c r="E102" s="7">
        <f t="shared" si="63"/>
        <v>13</v>
      </c>
      <c r="F102" s="6">
        <v>11.8</v>
      </c>
      <c r="G102" s="5"/>
      <c r="H102" s="5"/>
      <c r="I102" s="7">
        <f t="shared" si="64"/>
        <v>0</v>
      </c>
      <c r="J102" s="23"/>
      <c r="K102" s="5">
        <v>7</v>
      </c>
      <c r="L102" s="5">
        <v>4</v>
      </c>
      <c r="M102" s="7">
        <f t="shared" si="65"/>
        <v>11</v>
      </c>
      <c r="N102" s="6">
        <f>130.5/15</f>
        <v>8.6999999999999993</v>
      </c>
      <c r="O102" s="5">
        <v>8</v>
      </c>
      <c r="P102" s="5">
        <v>4</v>
      </c>
      <c r="Q102" s="7">
        <f t="shared" si="66"/>
        <v>12</v>
      </c>
      <c r="R102" s="23">
        <v>9.8000000000000007</v>
      </c>
      <c r="S102" s="5">
        <v>16</v>
      </c>
      <c r="T102" s="5">
        <v>11</v>
      </c>
      <c r="U102" s="7">
        <f t="shared" si="67"/>
        <v>27</v>
      </c>
      <c r="V102" s="6">
        <f>331/15</f>
        <v>22.066666666666666</v>
      </c>
      <c r="W102" s="5">
        <v>11</v>
      </c>
      <c r="X102" s="5">
        <v>10</v>
      </c>
      <c r="Y102" s="7">
        <f t="shared" si="68"/>
        <v>21</v>
      </c>
      <c r="Z102" s="23">
        <f>218/15</f>
        <v>14.533333333333333</v>
      </c>
      <c r="AA102" s="5">
        <v>21</v>
      </c>
      <c r="AB102" s="5">
        <v>9</v>
      </c>
      <c r="AC102" s="7">
        <f t="shared" si="69"/>
        <v>30</v>
      </c>
      <c r="AD102" s="6">
        <f>389.5/15</f>
        <v>25.966666666666665</v>
      </c>
      <c r="AE102" s="5">
        <v>11</v>
      </c>
      <c r="AF102" s="5">
        <v>11</v>
      </c>
      <c r="AG102" s="7">
        <f t="shared" si="70"/>
        <v>22</v>
      </c>
      <c r="AH102" s="23">
        <f>240.5/15</f>
        <v>16.033333333333335</v>
      </c>
      <c r="AI102" s="5">
        <v>27</v>
      </c>
      <c r="AJ102" s="5">
        <v>7</v>
      </c>
      <c r="AK102" s="7">
        <f t="shared" si="71"/>
        <v>34</v>
      </c>
      <c r="AL102" s="6">
        <f>450.5/15</f>
        <v>30.033333333333335</v>
      </c>
      <c r="AM102" s="5">
        <v>19</v>
      </c>
      <c r="AN102" s="5">
        <v>8</v>
      </c>
      <c r="AO102" s="7">
        <f t="shared" si="72"/>
        <v>27</v>
      </c>
      <c r="AP102" s="23">
        <f>335.5/15</f>
        <v>22.366666666666667</v>
      </c>
      <c r="AQ102" s="5">
        <v>16</v>
      </c>
      <c r="AR102" s="5">
        <v>7</v>
      </c>
      <c r="AS102" s="7">
        <f t="shared" si="73"/>
        <v>23</v>
      </c>
      <c r="AT102" s="6">
        <f>287/15</f>
        <v>19.133333333333333</v>
      </c>
      <c r="AU102" s="5">
        <v>11</v>
      </c>
      <c r="AV102" s="5">
        <v>9</v>
      </c>
      <c r="AW102" s="7">
        <f t="shared" si="74"/>
        <v>20</v>
      </c>
      <c r="AX102" s="23">
        <f>225/15</f>
        <v>15</v>
      </c>
      <c r="AY102" s="5">
        <v>21</v>
      </c>
      <c r="AZ102" s="5">
        <v>8</v>
      </c>
      <c r="BA102" s="7">
        <f t="shared" si="75"/>
        <v>29</v>
      </c>
      <c r="BB102" s="6">
        <f>380.5/15</f>
        <v>25.366666666666667</v>
      </c>
      <c r="BC102" s="5">
        <v>14</v>
      </c>
      <c r="BD102" s="5">
        <v>10</v>
      </c>
      <c r="BE102" s="7">
        <f t="shared" si="76"/>
        <v>24</v>
      </c>
      <c r="BF102" s="23">
        <f>281.5/15</f>
        <v>18.766666666666666</v>
      </c>
    </row>
    <row r="103" spans="1:147" x14ac:dyDescent="0.2">
      <c r="B103" s="27" t="s">
        <v>7</v>
      </c>
      <c r="C103" s="43">
        <f t="shared" ref="C103:AH103" si="77">SUM(C97:C102)</f>
        <v>121</v>
      </c>
      <c r="D103" s="43">
        <f t="shared" si="77"/>
        <v>23</v>
      </c>
      <c r="E103" s="45">
        <f t="shared" si="77"/>
        <v>144</v>
      </c>
      <c r="F103" s="39">
        <f t="shared" si="77"/>
        <v>133.70000000000002</v>
      </c>
      <c r="G103" s="43">
        <f t="shared" si="77"/>
        <v>0</v>
      </c>
      <c r="H103" s="43">
        <f t="shared" si="77"/>
        <v>0</v>
      </c>
      <c r="I103" s="45">
        <f t="shared" si="77"/>
        <v>0</v>
      </c>
      <c r="J103" s="39">
        <f t="shared" si="77"/>
        <v>0</v>
      </c>
      <c r="K103" s="43">
        <f t="shared" si="77"/>
        <v>144</v>
      </c>
      <c r="L103" s="43">
        <f t="shared" si="77"/>
        <v>28</v>
      </c>
      <c r="M103" s="45">
        <f t="shared" si="77"/>
        <v>172</v>
      </c>
      <c r="N103" s="39">
        <f t="shared" si="77"/>
        <v>160.16666666666666</v>
      </c>
      <c r="O103" s="43">
        <f t="shared" si="77"/>
        <v>116</v>
      </c>
      <c r="P103" s="43">
        <f t="shared" si="77"/>
        <v>40</v>
      </c>
      <c r="Q103" s="45">
        <f t="shared" si="77"/>
        <v>156</v>
      </c>
      <c r="R103" s="39">
        <f t="shared" si="77"/>
        <v>137.80000000000001</v>
      </c>
      <c r="S103" s="43">
        <f t="shared" si="77"/>
        <v>178</v>
      </c>
      <c r="T103" s="43">
        <f t="shared" si="77"/>
        <v>45</v>
      </c>
      <c r="U103" s="45">
        <f t="shared" si="77"/>
        <v>223</v>
      </c>
      <c r="V103" s="39">
        <f t="shared" si="77"/>
        <v>199.4</v>
      </c>
      <c r="W103" s="43">
        <f t="shared" si="77"/>
        <v>156</v>
      </c>
      <c r="X103" s="43">
        <f t="shared" si="77"/>
        <v>39</v>
      </c>
      <c r="Y103" s="45">
        <f t="shared" si="77"/>
        <v>195</v>
      </c>
      <c r="Z103" s="39">
        <f t="shared" si="77"/>
        <v>172.43333333333331</v>
      </c>
      <c r="AA103" s="43">
        <f t="shared" si="77"/>
        <v>184</v>
      </c>
      <c r="AB103" s="43">
        <f t="shared" si="77"/>
        <v>49</v>
      </c>
      <c r="AC103" s="45">
        <f t="shared" si="77"/>
        <v>233</v>
      </c>
      <c r="AD103" s="39">
        <f t="shared" si="77"/>
        <v>210.83333333333334</v>
      </c>
      <c r="AE103" s="43">
        <f t="shared" si="77"/>
        <v>157</v>
      </c>
      <c r="AF103" s="43">
        <f t="shared" si="77"/>
        <v>40</v>
      </c>
      <c r="AG103" s="45">
        <f t="shared" si="77"/>
        <v>197</v>
      </c>
      <c r="AH103" s="39">
        <f t="shared" si="77"/>
        <v>177.13333333333333</v>
      </c>
      <c r="AI103" s="43">
        <f t="shared" ref="AI103:BF103" si="78">SUM(AI97:AI102)</f>
        <v>202</v>
      </c>
      <c r="AJ103" s="43">
        <f t="shared" si="78"/>
        <v>48</v>
      </c>
      <c r="AK103" s="45">
        <f t="shared" si="78"/>
        <v>250</v>
      </c>
      <c r="AL103" s="39">
        <f t="shared" si="78"/>
        <v>221.96666666666667</v>
      </c>
      <c r="AM103" s="43">
        <f t="shared" si="78"/>
        <v>165</v>
      </c>
      <c r="AN103" s="43">
        <f t="shared" si="78"/>
        <v>48</v>
      </c>
      <c r="AO103" s="45">
        <f t="shared" si="78"/>
        <v>213</v>
      </c>
      <c r="AP103" s="39">
        <f t="shared" si="78"/>
        <v>184.93333333333334</v>
      </c>
      <c r="AQ103" s="43">
        <f t="shared" si="78"/>
        <v>207</v>
      </c>
      <c r="AR103" s="43">
        <f t="shared" si="78"/>
        <v>37</v>
      </c>
      <c r="AS103" s="45">
        <f t="shared" si="78"/>
        <v>244</v>
      </c>
      <c r="AT103" s="39">
        <f t="shared" si="78"/>
        <v>225.26666666666668</v>
      </c>
      <c r="AU103" s="43">
        <f t="shared" si="78"/>
        <v>195</v>
      </c>
      <c r="AV103" s="43">
        <f t="shared" si="78"/>
        <v>40</v>
      </c>
      <c r="AW103" s="45">
        <f t="shared" si="78"/>
        <v>235</v>
      </c>
      <c r="AX103" s="39">
        <f t="shared" si="78"/>
        <v>210.5</v>
      </c>
      <c r="AY103" s="43">
        <f t="shared" si="78"/>
        <v>213</v>
      </c>
      <c r="AZ103" s="43">
        <f t="shared" si="78"/>
        <v>26</v>
      </c>
      <c r="BA103" s="45">
        <f t="shared" si="78"/>
        <v>239</v>
      </c>
      <c r="BB103" s="39">
        <f t="shared" si="78"/>
        <v>230.26666666666668</v>
      </c>
      <c r="BC103" s="43">
        <f t="shared" si="78"/>
        <v>173</v>
      </c>
      <c r="BD103" s="43">
        <f t="shared" si="78"/>
        <v>31</v>
      </c>
      <c r="BE103" s="45">
        <f t="shared" si="78"/>
        <v>204</v>
      </c>
      <c r="BF103" s="39">
        <f t="shared" si="78"/>
        <v>187.8</v>
      </c>
    </row>
    <row r="104" spans="1:147" x14ac:dyDescent="0.2">
      <c r="B104" s="8"/>
      <c r="C104" s="20"/>
      <c r="D104" s="20"/>
      <c r="E104" s="15"/>
      <c r="G104" s="20"/>
      <c r="H104" s="20"/>
      <c r="I104" s="26" t="s">
        <v>8</v>
      </c>
      <c r="J104" s="6">
        <f>(F103+J103)/2</f>
        <v>66.850000000000009</v>
      </c>
      <c r="K104" s="20"/>
      <c r="L104" s="20"/>
      <c r="M104" s="15"/>
      <c r="O104" s="20"/>
      <c r="P104" s="20"/>
      <c r="Q104" s="26" t="s">
        <v>8</v>
      </c>
      <c r="R104" s="6">
        <f>(N103+R103)/2</f>
        <v>148.98333333333335</v>
      </c>
      <c r="S104" s="20"/>
      <c r="T104" s="20"/>
      <c r="U104" s="15"/>
      <c r="W104" s="20"/>
      <c r="X104" s="20"/>
      <c r="Y104" s="26" t="s">
        <v>8</v>
      </c>
      <c r="Z104" s="6">
        <f>(V103+Z103)/2</f>
        <v>185.91666666666666</v>
      </c>
      <c r="AA104" s="20"/>
      <c r="AB104" s="20"/>
      <c r="AC104" s="15"/>
      <c r="AE104" s="20"/>
      <c r="AF104" s="20"/>
      <c r="AG104" s="26" t="s">
        <v>8</v>
      </c>
      <c r="AH104" s="6">
        <f>(AD103+AH103)/2</f>
        <v>193.98333333333335</v>
      </c>
      <c r="AI104" s="20"/>
      <c r="AJ104" s="20"/>
      <c r="AK104" s="15"/>
      <c r="AM104" s="20"/>
      <c r="AN104" s="20"/>
      <c r="AO104" s="26" t="s">
        <v>8</v>
      </c>
      <c r="AP104" s="6">
        <f>(AL103+AP103)/2</f>
        <v>203.45</v>
      </c>
      <c r="AQ104" s="20"/>
      <c r="AR104" s="20"/>
      <c r="AS104" s="15"/>
      <c r="AU104" s="20"/>
      <c r="AV104" s="20"/>
      <c r="AW104" s="26" t="s">
        <v>8</v>
      </c>
      <c r="AX104" s="6">
        <f>(AT103+AX103)/2</f>
        <v>217.88333333333333</v>
      </c>
      <c r="AY104" s="20"/>
      <c r="AZ104" s="20"/>
      <c r="BA104" s="15"/>
      <c r="BC104" s="20"/>
      <c r="BD104" s="20"/>
      <c r="BE104" s="26" t="s">
        <v>8</v>
      </c>
      <c r="BF104" s="6">
        <f>(BB103+BF103)/2</f>
        <v>209.03333333333336</v>
      </c>
    </row>
    <row r="105" spans="1:147" x14ac:dyDescent="0.2">
      <c r="B105" s="4"/>
      <c r="E105" s="7"/>
      <c r="G105" s="2"/>
      <c r="H105" s="2"/>
      <c r="I105" s="7"/>
      <c r="J105" s="6"/>
      <c r="M105" s="7"/>
      <c r="O105" s="2"/>
      <c r="P105" s="2"/>
      <c r="Q105" s="7"/>
      <c r="R105" s="6"/>
      <c r="U105" s="7"/>
      <c r="W105" s="2"/>
      <c r="X105" s="2"/>
      <c r="Y105" s="7"/>
      <c r="Z105" s="6"/>
      <c r="AC105" s="7"/>
      <c r="AE105" s="2"/>
      <c r="AF105" s="2"/>
      <c r="AG105" s="7"/>
      <c r="AH105" s="6"/>
      <c r="AK105" s="7"/>
      <c r="AM105" s="2"/>
      <c r="AN105" s="2"/>
      <c r="AO105" s="7"/>
      <c r="AP105" s="6"/>
      <c r="AS105" s="7"/>
      <c r="AU105" s="2"/>
      <c r="AV105" s="2"/>
      <c r="AW105" s="7"/>
      <c r="AX105" s="6"/>
      <c r="BA105" s="7"/>
      <c r="BC105" s="2"/>
      <c r="BD105" s="2"/>
      <c r="BE105" s="7"/>
      <c r="BF105" s="6"/>
    </row>
    <row r="106" spans="1:147" x14ac:dyDescent="0.2">
      <c r="B106" s="8"/>
      <c r="E106" s="3" t="s">
        <v>263</v>
      </c>
      <c r="F106" s="21"/>
      <c r="I106" s="3" t="s">
        <v>264</v>
      </c>
      <c r="J106" s="6"/>
      <c r="M106" s="3" t="s">
        <v>232</v>
      </c>
      <c r="N106" s="21"/>
      <c r="Q106" s="3" t="s">
        <v>233</v>
      </c>
      <c r="R106" s="6"/>
      <c r="U106" s="3" t="s">
        <v>225</v>
      </c>
      <c r="V106" s="21"/>
      <c r="Y106" s="3" t="s">
        <v>226</v>
      </c>
      <c r="Z106" s="6"/>
      <c r="AC106" s="3" t="s">
        <v>221</v>
      </c>
      <c r="AD106" s="21"/>
      <c r="AG106" s="3" t="s">
        <v>222</v>
      </c>
      <c r="AH106" s="6"/>
      <c r="AK106" s="3" t="s">
        <v>215</v>
      </c>
      <c r="AL106" s="21"/>
      <c r="AO106" s="3" t="s">
        <v>216</v>
      </c>
      <c r="AP106" s="6"/>
      <c r="AS106" s="3" t="s">
        <v>209</v>
      </c>
      <c r="AT106" s="21"/>
      <c r="AW106" s="3" t="s">
        <v>210</v>
      </c>
      <c r="AX106" s="6"/>
      <c r="BA106" s="3" t="s">
        <v>205</v>
      </c>
      <c r="BB106" s="21"/>
      <c r="BE106" s="3" t="s">
        <v>206</v>
      </c>
      <c r="BF106" s="6"/>
    </row>
    <row r="107" spans="1:147" x14ac:dyDescent="0.2">
      <c r="B107" s="4" t="s">
        <v>247</v>
      </c>
      <c r="C107" s="2" t="s">
        <v>0</v>
      </c>
      <c r="D107" s="2" t="s">
        <v>1</v>
      </c>
      <c r="E107" s="7" t="s">
        <v>5</v>
      </c>
      <c r="F107" s="6" t="s">
        <v>6</v>
      </c>
      <c r="G107" s="2" t="s">
        <v>0</v>
      </c>
      <c r="H107" s="2" t="s">
        <v>1</v>
      </c>
      <c r="I107" s="7" t="s">
        <v>5</v>
      </c>
      <c r="J107" s="6" t="s">
        <v>6</v>
      </c>
      <c r="K107" s="2" t="s">
        <v>0</v>
      </c>
      <c r="L107" s="2" t="s">
        <v>1</v>
      </c>
      <c r="M107" s="7" t="s">
        <v>5</v>
      </c>
      <c r="N107" s="6" t="s">
        <v>6</v>
      </c>
      <c r="O107" s="2" t="s">
        <v>0</v>
      </c>
      <c r="P107" s="2" t="s">
        <v>1</v>
      </c>
      <c r="Q107" s="7" t="s">
        <v>5</v>
      </c>
      <c r="R107" s="6" t="s">
        <v>6</v>
      </c>
      <c r="S107" s="2" t="s">
        <v>0</v>
      </c>
      <c r="T107" s="2" t="s">
        <v>1</v>
      </c>
      <c r="U107" s="7" t="s">
        <v>5</v>
      </c>
      <c r="V107" s="6" t="s">
        <v>6</v>
      </c>
      <c r="W107" s="2" t="s">
        <v>0</v>
      </c>
      <c r="X107" s="2" t="s">
        <v>1</v>
      </c>
      <c r="Y107" s="7" t="s">
        <v>5</v>
      </c>
      <c r="Z107" s="6" t="s">
        <v>6</v>
      </c>
      <c r="AA107" s="2" t="s">
        <v>0</v>
      </c>
      <c r="AB107" s="2" t="s">
        <v>1</v>
      </c>
      <c r="AC107" s="7" t="s">
        <v>5</v>
      </c>
      <c r="AD107" s="6" t="s">
        <v>6</v>
      </c>
      <c r="AE107" s="2" t="s">
        <v>0</v>
      </c>
      <c r="AF107" s="2" t="s">
        <v>1</v>
      </c>
      <c r="AG107" s="7" t="s">
        <v>5</v>
      </c>
      <c r="AH107" s="6" t="s">
        <v>6</v>
      </c>
      <c r="AI107" s="2" t="s">
        <v>0</v>
      </c>
      <c r="AJ107" s="2" t="s">
        <v>1</v>
      </c>
      <c r="AK107" s="7" t="s">
        <v>5</v>
      </c>
      <c r="AL107" s="6" t="s">
        <v>6</v>
      </c>
      <c r="AM107" s="2" t="s">
        <v>0</v>
      </c>
      <c r="AN107" s="2" t="s">
        <v>1</v>
      </c>
      <c r="AO107" s="7" t="s">
        <v>5</v>
      </c>
      <c r="AP107" s="6" t="s">
        <v>6</v>
      </c>
      <c r="AQ107" s="2" t="s">
        <v>0</v>
      </c>
      <c r="AR107" s="2" t="s">
        <v>1</v>
      </c>
      <c r="AS107" s="7" t="s">
        <v>5</v>
      </c>
      <c r="AT107" s="6" t="s">
        <v>6</v>
      </c>
      <c r="AU107" s="2" t="s">
        <v>0</v>
      </c>
      <c r="AV107" s="2" t="s">
        <v>1</v>
      </c>
      <c r="AW107" s="7" t="s">
        <v>5</v>
      </c>
      <c r="AX107" s="6" t="s">
        <v>6</v>
      </c>
      <c r="AY107" s="2" t="s">
        <v>0</v>
      </c>
      <c r="AZ107" s="2" t="s">
        <v>1</v>
      </c>
      <c r="BA107" s="7" t="s">
        <v>5</v>
      </c>
      <c r="BB107" s="6" t="s">
        <v>6</v>
      </c>
      <c r="BC107" s="2" t="s">
        <v>0</v>
      </c>
      <c r="BD107" s="2" t="s">
        <v>1</v>
      </c>
      <c r="BE107" s="7" t="s">
        <v>5</v>
      </c>
      <c r="BF107" s="6" t="s">
        <v>6</v>
      </c>
    </row>
    <row r="108" spans="1:147" x14ac:dyDescent="0.2">
      <c r="A108" s="36" t="s">
        <v>135</v>
      </c>
      <c r="B108" s="8" t="s">
        <v>166</v>
      </c>
      <c r="C108" s="2">
        <v>22</v>
      </c>
      <c r="D108" s="2">
        <v>6</v>
      </c>
      <c r="E108" s="3">
        <f>SUM(C108:D108)</f>
        <v>28</v>
      </c>
      <c r="F108" s="6">
        <v>23.7</v>
      </c>
      <c r="G108" s="10"/>
      <c r="H108" s="10"/>
      <c r="I108" s="3">
        <f t="shared" ref="I108:I116" si="79">SUM(G108:H108)</f>
        <v>0</v>
      </c>
      <c r="J108" s="23"/>
      <c r="K108" s="2">
        <v>20</v>
      </c>
      <c r="L108" s="2">
        <v>5</v>
      </c>
      <c r="M108" s="3">
        <f>SUM(K108:L108)</f>
        <v>25</v>
      </c>
      <c r="N108" s="6">
        <f>313/15</f>
        <v>20.866666666666667</v>
      </c>
      <c r="O108" s="10">
        <v>21</v>
      </c>
      <c r="P108" s="10">
        <v>5</v>
      </c>
      <c r="Q108" s="3">
        <f t="shared" ref="Q108:Q116" si="80">SUM(O108:P108)</f>
        <v>26</v>
      </c>
      <c r="R108" s="23">
        <v>23.8</v>
      </c>
      <c r="S108" s="2">
        <v>15</v>
      </c>
      <c r="T108" s="2">
        <v>8</v>
      </c>
      <c r="U108" s="3">
        <f t="shared" ref="U108:U128" si="81">SUM(S108:T108)</f>
        <v>23</v>
      </c>
      <c r="V108" s="6">
        <f>277/15</f>
        <v>18.466666666666665</v>
      </c>
      <c r="W108" s="10">
        <v>18</v>
      </c>
      <c r="X108" s="10">
        <v>7</v>
      </c>
      <c r="Y108" s="3">
        <f t="shared" ref="Y108:Y128" si="82">SUM(W108:X108)</f>
        <v>25</v>
      </c>
      <c r="Z108" s="23">
        <f>326.5/15</f>
        <v>21.766666666666666</v>
      </c>
      <c r="AA108" s="2">
        <v>36</v>
      </c>
      <c r="AB108" s="2">
        <v>6</v>
      </c>
      <c r="AC108" s="3">
        <f t="shared" ref="AC108:AC130" si="83">SUM(AA108:AB108)</f>
        <v>42</v>
      </c>
      <c r="AD108" s="6">
        <f>603/15</f>
        <v>40.200000000000003</v>
      </c>
      <c r="AE108" s="10">
        <v>32</v>
      </c>
      <c r="AF108" s="10">
        <v>8</v>
      </c>
      <c r="AG108" s="3">
        <f t="shared" ref="AG108:AG130" si="84">SUM(AE108:AF108)</f>
        <v>40</v>
      </c>
      <c r="AH108" s="23">
        <f>561.5/15</f>
        <v>37.43333333333333</v>
      </c>
      <c r="AI108" s="2">
        <v>53</v>
      </c>
      <c r="AJ108" s="2">
        <v>8</v>
      </c>
      <c r="AK108" s="3">
        <f t="shared" ref="AK108:AK130" si="85">SUM(AI108:AJ108)</f>
        <v>61</v>
      </c>
      <c r="AL108" s="6">
        <f>829.5/15</f>
        <v>55.3</v>
      </c>
      <c r="AM108" s="10">
        <v>47</v>
      </c>
      <c r="AN108" s="10">
        <v>5</v>
      </c>
      <c r="AO108" s="3">
        <f t="shared" ref="AO108:AO130" si="86">SUM(AM108:AN108)</f>
        <v>52</v>
      </c>
      <c r="AP108" s="23">
        <f>771.5/15</f>
        <v>51.43333333333333</v>
      </c>
      <c r="AQ108" s="2">
        <v>30</v>
      </c>
      <c r="AR108" s="2">
        <v>6</v>
      </c>
      <c r="AS108" s="3">
        <f t="shared" ref="AS108:AS130" si="87">SUM(AQ108:AR108)</f>
        <v>36</v>
      </c>
      <c r="AT108" s="6">
        <f>530.5/15</f>
        <v>35.366666666666667</v>
      </c>
      <c r="AU108" s="10">
        <v>40</v>
      </c>
      <c r="AV108" s="10">
        <v>5</v>
      </c>
      <c r="AW108" s="3">
        <f t="shared" ref="AW108:AW130" si="88">SUM(AU108:AV108)</f>
        <v>45</v>
      </c>
      <c r="AX108" s="6">
        <f>663.5/15</f>
        <v>44.233333333333334</v>
      </c>
      <c r="AY108" s="2">
        <v>31</v>
      </c>
      <c r="AZ108" s="2">
        <v>6</v>
      </c>
      <c r="BA108" s="3">
        <f t="shared" ref="BA108:BA121" si="89">SUM(AY108:AZ108)</f>
        <v>37</v>
      </c>
      <c r="BB108" s="6">
        <f>501/15</f>
        <v>33.4</v>
      </c>
      <c r="BC108" s="10">
        <v>35</v>
      </c>
      <c r="BD108" s="10">
        <v>4</v>
      </c>
      <c r="BE108" s="3">
        <f t="shared" ref="BE108:BE130" si="90">SUM(BC108:BD108)</f>
        <v>39</v>
      </c>
      <c r="BF108" s="6">
        <f>583.5/15</f>
        <v>38.9</v>
      </c>
    </row>
    <row r="109" spans="1:147" x14ac:dyDescent="0.2">
      <c r="A109" s="36" t="s">
        <v>137</v>
      </c>
      <c r="B109" s="8" t="s">
        <v>168</v>
      </c>
      <c r="C109" s="2">
        <v>0</v>
      </c>
      <c r="D109" s="2">
        <v>1</v>
      </c>
      <c r="E109" s="3">
        <v>0</v>
      </c>
      <c r="F109" s="6">
        <v>0.2</v>
      </c>
      <c r="G109" s="10"/>
      <c r="H109" s="10"/>
      <c r="I109" s="3">
        <f t="shared" si="79"/>
        <v>0</v>
      </c>
      <c r="J109" s="23"/>
      <c r="K109" s="2">
        <v>0</v>
      </c>
      <c r="L109" s="2">
        <v>0</v>
      </c>
      <c r="M109" s="3">
        <v>0</v>
      </c>
      <c r="N109" s="6">
        <v>0</v>
      </c>
      <c r="O109" s="10">
        <v>0</v>
      </c>
      <c r="P109" s="10">
        <v>0</v>
      </c>
      <c r="Q109" s="3">
        <f t="shared" si="80"/>
        <v>0</v>
      </c>
      <c r="R109" s="23">
        <v>0</v>
      </c>
      <c r="S109" s="2">
        <v>0</v>
      </c>
      <c r="T109" s="2">
        <v>1</v>
      </c>
      <c r="U109" s="3">
        <f t="shared" si="81"/>
        <v>1</v>
      </c>
      <c r="V109" s="6">
        <f>7/15</f>
        <v>0.46666666666666667</v>
      </c>
      <c r="W109" s="10">
        <v>0</v>
      </c>
      <c r="X109" s="10">
        <v>1</v>
      </c>
      <c r="Y109" s="3">
        <f t="shared" si="82"/>
        <v>1</v>
      </c>
      <c r="Z109" s="23">
        <f>3/15</f>
        <v>0.2</v>
      </c>
      <c r="AA109" s="2">
        <v>2</v>
      </c>
      <c r="AB109" s="2">
        <v>3</v>
      </c>
      <c r="AC109" s="3">
        <f t="shared" si="83"/>
        <v>5</v>
      </c>
      <c r="AD109" s="6">
        <f>48/15</f>
        <v>3.2</v>
      </c>
      <c r="AE109" s="10">
        <v>2</v>
      </c>
      <c r="AF109" s="10">
        <v>2</v>
      </c>
      <c r="AG109" s="3">
        <f t="shared" si="84"/>
        <v>4</v>
      </c>
      <c r="AH109" s="23">
        <f>36/15</f>
        <v>2.4</v>
      </c>
      <c r="AI109" s="2">
        <v>5</v>
      </c>
      <c r="AJ109" s="2">
        <v>0</v>
      </c>
      <c r="AK109" s="3">
        <f t="shared" si="85"/>
        <v>5</v>
      </c>
      <c r="AL109" s="6">
        <f>82.5/15</f>
        <v>5.5</v>
      </c>
      <c r="AM109" s="10">
        <v>5</v>
      </c>
      <c r="AN109" s="10">
        <v>1</v>
      </c>
      <c r="AO109" s="3">
        <f t="shared" si="86"/>
        <v>6</v>
      </c>
      <c r="AP109" s="23">
        <f>85/15</f>
        <v>5.666666666666667</v>
      </c>
      <c r="AQ109" s="2">
        <v>4</v>
      </c>
      <c r="AR109" s="2">
        <v>2</v>
      </c>
      <c r="AS109" s="3">
        <f t="shared" si="87"/>
        <v>6</v>
      </c>
      <c r="AT109" s="6">
        <f>67/15</f>
        <v>4.4666666666666668</v>
      </c>
      <c r="AU109" s="10">
        <v>3</v>
      </c>
      <c r="AV109" s="10">
        <v>0</v>
      </c>
      <c r="AW109" s="3">
        <f t="shared" si="88"/>
        <v>3</v>
      </c>
      <c r="AX109" s="23">
        <f>45.5/15</f>
        <v>3.0333333333333332</v>
      </c>
      <c r="AY109" s="2">
        <v>6</v>
      </c>
      <c r="AZ109" s="2">
        <v>2</v>
      </c>
      <c r="BA109" s="3">
        <f t="shared" si="89"/>
        <v>8</v>
      </c>
      <c r="BB109" s="6">
        <f>104/15</f>
        <v>6.9333333333333336</v>
      </c>
      <c r="BC109" s="10">
        <v>3</v>
      </c>
      <c r="BD109" s="10">
        <v>4</v>
      </c>
      <c r="BE109" s="3">
        <f t="shared" si="90"/>
        <v>7</v>
      </c>
      <c r="BF109" s="23">
        <f>64/15</f>
        <v>4.2666666666666666</v>
      </c>
    </row>
    <row r="110" spans="1:147" x14ac:dyDescent="0.2">
      <c r="A110" s="36" t="s">
        <v>138</v>
      </c>
      <c r="B110" s="8" t="s">
        <v>169</v>
      </c>
      <c r="C110" s="2">
        <v>15</v>
      </c>
      <c r="D110" s="2">
        <v>1</v>
      </c>
      <c r="E110" s="3">
        <f t="shared" ref="E110:E116" si="91">SUM(C110:D110)</f>
        <v>16</v>
      </c>
      <c r="F110" s="6">
        <v>18.2</v>
      </c>
      <c r="G110" s="10"/>
      <c r="H110" s="10"/>
      <c r="I110" s="3">
        <f t="shared" si="79"/>
        <v>0</v>
      </c>
      <c r="J110" s="23"/>
      <c r="K110" s="2">
        <v>10</v>
      </c>
      <c r="L110" s="2">
        <v>1</v>
      </c>
      <c r="M110" s="3">
        <f t="shared" ref="M110:M120" si="92">SUM(K110:L110)</f>
        <v>11</v>
      </c>
      <c r="N110" s="6">
        <f>182/15</f>
        <v>12.133333333333333</v>
      </c>
      <c r="O110" s="10">
        <v>13</v>
      </c>
      <c r="P110" s="10">
        <v>1</v>
      </c>
      <c r="Q110" s="3">
        <f t="shared" si="80"/>
        <v>14</v>
      </c>
      <c r="R110" s="23">
        <v>19.100000000000001</v>
      </c>
      <c r="S110" s="2">
        <v>23</v>
      </c>
      <c r="T110" s="2">
        <v>4</v>
      </c>
      <c r="U110" s="3">
        <f t="shared" si="81"/>
        <v>27</v>
      </c>
      <c r="V110" s="6">
        <f>435.5/15</f>
        <v>29.033333333333335</v>
      </c>
      <c r="W110" s="10">
        <v>13</v>
      </c>
      <c r="X110" s="10">
        <v>3</v>
      </c>
      <c r="Y110" s="3">
        <f t="shared" si="82"/>
        <v>16</v>
      </c>
      <c r="Z110" s="23">
        <f>312/15</f>
        <v>20.8</v>
      </c>
      <c r="AA110" s="2">
        <v>17</v>
      </c>
      <c r="AB110" s="2">
        <v>0</v>
      </c>
      <c r="AC110" s="3">
        <f t="shared" si="83"/>
        <v>17</v>
      </c>
      <c r="AD110" s="6">
        <f>278/15</f>
        <v>18.533333333333335</v>
      </c>
      <c r="AE110" s="10">
        <v>15</v>
      </c>
      <c r="AF110" s="10">
        <v>1</v>
      </c>
      <c r="AG110" s="3">
        <f t="shared" si="84"/>
        <v>16</v>
      </c>
      <c r="AH110" s="23">
        <f>306/15</f>
        <v>20.399999999999999</v>
      </c>
      <c r="AI110" s="2">
        <v>39</v>
      </c>
      <c r="AJ110" s="2">
        <v>1</v>
      </c>
      <c r="AK110" s="3">
        <f t="shared" si="85"/>
        <v>40</v>
      </c>
      <c r="AL110" s="6">
        <f>669.5/15</f>
        <v>44.633333333333333</v>
      </c>
      <c r="AM110" s="10">
        <v>30</v>
      </c>
      <c r="AN110" s="10">
        <v>2</v>
      </c>
      <c r="AO110" s="3">
        <f t="shared" si="86"/>
        <v>32</v>
      </c>
      <c r="AP110" s="23">
        <f>632.5/15</f>
        <v>42.166666666666664</v>
      </c>
      <c r="AQ110" s="2">
        <v>21</v>
      </c>
      <c r="AR110" s="2">
        <v>1</v>
      </c>
      <c r="AS110" s="3">
        <f t="shared" si="87"/>
        <v>22</v>
      </c>
      <c r="AT110" s="6">
        <f>376/15</f>
        <v>25.066666666666666</v>
      </c>
      <c r="AU110" s="10">
        <v>29</v>
      </c>
      <c r="AV110" s="10">
        <v>5</v>
      </c>
      <c r="AW110" s="3">
        <f t="shared" si="88"/>
        <v>34</v>
      </c>
      <c r="AX110" s="23">
        <f>633/15</f>
        <v>42.2</v>
      </c>
      <c r="AY110" s="2">
        <v>31</v>
      </c>
      <c r="AZ110" s="2">
        <v>0</v>
      </c>
      <c r="BA110" s="3">
        <f t="shared" si="89"/>
        <v>31</v>
      </c>
      <c r="BB110" s="6">
        <f>539/15</f>
        <v>35.93333333333333</v>
      </c>
      <c r="BC110" s="10">
        <v>24</v>
      </c>
      <c r="BD110" s="10">
        <v>3</v>
      </c>
      <c r="BE110" s="3">
        <f t="shared" si="90"/>
        <v>27</v>
      </c>
      <c r="BF110" s="23">
        <f>528/15</f>
        <v>35.200000000000003</v>
      </c>
    </row>
    <row r="111" spans="1:147" x14ac:dyDescent="0.2">
      <c r="A111" s="36" t="s">
        <v>139</v>
      </c>
      <c r="B111" s="8" t="s">
        <v>170</v>
      </c>
      <c r="C111" s="2">
        <v>2</v>
      </c>
      <c r="D111" s="2">
        <v>0</v>
      </c>
      <c r="E111" s="3">
        <f t="shared" si="91"/>
        <v>2</v>
      </c>
      <c r="F111" s="6">
        <v>2</v>
      </c>
      <c r="G111" s="10"/>
      <c r="H111" s="10"/>
      <c r="I111" s="3">
        <f t="shared" si="79"/>
        <v>0</v>
      </c>
      <c r="J111" s="23"/>
      <c r="K111" s="2">
        <v>4</v>
      </c>
      <c r="L111" s="2">
        <v>0</v>
      </c>
      <c r="M111" s="3">
        <f t="shared" si="92"/>
        <v>4</v>
      </c>
      <c r="N111" s="6">
        <f>54.5/15</f>
        <v>3.6333333333333333</v>
      </c>
      <c r="O111" s="10">
        <v>1</v>
      </c>
      <c r="P111" s="10">
        <v>3</v>
      </c>
      <c r="Q111" s="3">
        <f t="shared" si="80"/>
        <v>4</v>
      </c>
      <c r="R111" s="23">
        <v>2.2999999999999998</v>
      </c>
      <c r="S111" s="2">
        <v>1</v>
      </c>
      <c r="T111" s="2">
        <v>0</v>
      </c>
      <c r="U111" s="3">
        <f t="shared" si="81"/>
        <v>1</v>
      </c>
      <c r="V111" s="6">
        <f>16/15</f>
        <v>1.0666666666666667</v>
      </c>
      <c r="W111" s="10">
        <v>2</v>
      </c>
      <c r="X111" s="10">
        <v>0</v>
      </c>
      <c r="Y111" s="3">
        <f t="shared" si="82"/>
        <v>2</v>
      </c>
      <c r="Z111" s="23">
        <f>36/15</f>
        <v>2.4</v>
      </c>
      <c r="AA111" s="2">
        <v>5</v>
      </c>
      <c r="AB111" s="2">
        <v>1</v>
      </c>
      <c r="AC111" s="3">
        <f t="shared" si="83"/>
        <v>6</v>
      </c>
      <c r="AD111" s="6">
        <f>77.5/15</f>
        <v>5.166666666666667</v>
      </c>
      <c r="AE111" s="10">
        <v>1</v>
      </c>
      <c r="AF111" s="10">
        <v>1</v>
      </c>
      <c r="AG111" s="3">
        <f t="shared" si="84"/>
        <v>2</v>
      </c>
      <c r="AH111" s="23">
        <f>16.5/15</f>
        <v>1.1000000000000001</v>
      </c>
      <c r="AI111" s="2">
        <v>4</v>
      </c>
      <c r="AJ111" s="2">
        <v>1</v>
      </c>
      <c r="AK111" s="3">
        <f t="shared" si="85"/>
        <v>5</v>
      </c>
      <c r="AL111" s="6">
        <f>62/15</f>
        <v>4.1333333333333337</v>
      </c>
      <c r="AM111" s="10">
        <v>2</v>
      </c>
      <c r="AN111" s="10">
        <v>2</v>
      </c>
      <c r="AO111" s="3">
        <f t="shared" si="86"/>
        <v>4</v>
      </c>
      <c r="AP111" s="23">
        <f>40.5/15</f>
        <v>2.7</v>
      </c>
      <c r="AQ111" s="2">
        <v>0</v>
      </c>
      <c r="AR111" s="2">
        <v>1</v>
      </c>
      <c r="AS111" s="3">
        <f t="shared" si="87"/>
        <v>1</v>
      </c>
      <c r="AT111" s="6">
        <f>10/15</f>
        <v>0.66666666666666663</v>
      </c>
      <c r="AU111" s="10">
        <v>2</v>
      </c>
      <c r="AV111" s="10">
        <v>0</v>
      </c>
      <c r="AW111" s="3">
        <f t="shared" si="88"/>
        <v>2</v>
      </c>
      <c r="AX111" s="23">
        <f>27.5/15</f>
        <v>1.8333333333333333</v>
      </c>
      <c r="AY111" s="2">
        <v>2</v>
      </c>
      <c r="AZ111" s="2">
        <v>0</v>
      </c>
      <c r="BA111" s="3">
        <f t="shared" si="89"/>
        <v>2</v>
      </c>
      <c r="BB111" s="6">
        <f>29.5/15</f>
        <v>1.9666666666666666</v>
      </c>
      <c r="BC111" s="10">
        <v>2</v>
      </c>
      <c r="BD111" s="10">
        <v>0</v>
      </c>
      <c r="BE111" s="3">
        <f t="shared" si="90"/>
        <v>2</v>
      </c>
      <c r="BF111" s="23">
        <f>28.5/15</f>
        <v>1.9</v>
      </c>
    </row>
    <row r="112" spans="1:147" x14ac:dyDescent="0.2">
      <c r="A112" s="36" t="s">
        <v>140</v>
      </c>
      <c r="B112" s="8" t="s">
        <v>171</v>
      </c>
      <c r="C112" s="2">
        <v>26</v>
      </c>
      <c r="D112" s="2">
        <v>4</v>
      </c>
      <c r="E112" s="3">
        <f t="shared" si="91"/>
        <v>30</v>
      </c>
      <c r="F112" s="6">
        <v>27.9</v>
      </c>
      <c r="G112" s="10"/>
      <c r="H112" s="10"/>
      <c r="I112" s="3">
        <f t="shared" si="79"/>
        <v>0</v>
      </c>
      <c r="J112" s="23"/>
      <c r="K112" s="2">
        <v>45</v>
      </c>
      <c r="L112" s="2">
        <v>4</v>
      </c>
      <c r="M112" s="3">
        <f t="shared" si="92"/>
        <v>49</v>
      </c>
      <c r="N112" s="6">
        <f>729.5/15</f>
        <v>48.633333333333333</v>
      </c>
      <c r="O112" s="10">
        <v>36</v>
      </c>
      <c r="P112" s="10">
        <v>8</v>
      </c>
      <c r="Q112" s="3">
        <f t="shared" si="80"/>
        <v>44</v>
      </c>
      <c r="R112" s="23">
        <v>38.9</v>
      </c>
      <c r="S112" s="2">
        <v>39</v>
      </c>
      <c r="T112" s="2">
        <v>5</v>
      </c>
      <c r="U112" s="3">
        <f t="shared" si="81"/>
        <v>44</v>
      </c>
      <c r="V112" s="6">
        <f>639/15</f>
        <v>42.6</v>
      </c>
      <c r="W112" s="10">
        <v>32</v>
      </c>
      <c r="X112" s="10">
        <v>9</v>
      </c>
      <c r="Y112" s="3">
        <f t="shared" si="82"/>
        <v>41</v>
      </c>
      <c r="Z112" s="23">
        <f>534.5/15</f>
        <v>35.633333333333333</v>
      </c>
      <c r="AA112" s="2">
        <v>41</v>
      </c>
      <c r="AB112" s="2">
        <v>10</v>
      </c>
      <c r="AC112" s="3">
        <f t="shared" si="83"/>
        <v>51</v>
      </c>
      <c r="AD112" s="6">
        <f>681.5/15</f>
        <v>45.43333333333333</v>
      </c>
      <c r="AE112" s="10">
        <v>39</v>
      </c>
      <c r="AF112" s="10">
        <v>5</v>
      </c>
      <c r="AG112" s="3">
        <f t="shared" si="84"/>
        <v>44</v>
      </c>
      <c r="AH112" s="23">
        <f>605/15</f>
        <v>40.333333333333336</v>
      </c>
      <c r="AI112" s="2">
        <v>42</v>
      </c>
      <c r="AJ112" s="2">
        <v>12</v>
      </c>
      <c r="AK112" s="3">
        <f t="shared" si="85"/>
        <v>54</v>
      </c>
      <c r="AL112" s="6">
        <f>693.5/15</f>
        <v>46.233333333333334</v>
      </c>
      <c r="AM112" s="10">
        <v>43</v>
      </c>
      <c r="AN112" s="10">
        <v>7</v>
      </c>
      <c r="AO112" s="3">
        <f t="shared" si="86"/>
        <v>50</v>
      </c>
      <c r="AP112" s="23">
        <f>672/15</f>
        <v>44.8</v>
      </c>
      <c r="AQ112" s="2">
        <v>35</v>
      </c>
      <c r="AR112" s="2">
        <v>10</v>
      </c>
      <c r="AS112" s="3">
        <f t="shared" si="87"/>
        <v>45</v>
      </c>
      <c r="AT112" s="6">
        <f>580.5/15</f>
        <v>38.700000000000003</v>
      </c>
      <c r="AU112" s="10">
        <v>35</v>
      </c>
      <c r="AV112" s="10">
        <v>11</v>
      </c>
      <c r="AW112" s="3">
        <f t="shared" si="88"/>
        <v>46</v>
      </c>
      <c r="AX112" s="23">
        <f>599/15</f>
        <v>39.93333333333333</v>
      </c>
      <c r="AY112" s="2">
        <v>46</v>
      </c>
      <c r="AZ112" s="2">
        <v>7</v>
      </c>
      <c r="BA112" s="3">
        <f t="shared" si="89"/>
        <v>53</v>
      </c>
      <c r="BB112" s="6">
        <f>760.5/15</f>
        <v>50.7</v>
      </c>
      <c r="BC112" s="10">
        <v>36</v>
      </c>
      <c r="BD112" s="10">
        <v>10</v>
      </c>
      <c r="BE112" s="3">
        <f t="shared" si="90"/>
        <v>46</v>
      </c>
      <c r="BF112" s="23">
        <f>610/15</f>
        <v>40.666666666666664</v>
      </c>
    </row>
    <row r="113" spans="1:147" x14ac:dyDescent="0.2">
      <c r="A113" s="36" t="s">
        <v>141</v>
      </c>
      <c r="B113" s="8" t="s">
        <v>172</v>
      </c>
      <c r="C113" s="2">
        <v>9</v>
      </c>
      <c r="D113" s="2">
        <v>0</v>
      </c>
      <c r="E113" s="3">
        <f t="shared" si="91"/>
        <v>9</v>
      </c>
      <c r="F113" s="6">
        <v>12.5</v>
      </c>
      <c r="G113" s="10"/>
      <c r="H113" s="10"/>
      <c r="I113" s="3">
        <f t="shared" si="79"/>
        <v>0</v>
      </c>
      <c r="J113" s="23"/>
      <c r="K113" s="2">
        <v>9</v>
      </c>
      <c r="L113" s="2">
        <v>1</v>
      </c>
      <c r="M113" s="3">
        <f t="shared" si="92"/>
        <v>10</v>
      </c>
      <c r="N113" s="6">
        <f>187/15</f>
        <v>12.466666666666667</v>
      </c>
      <c r="O113" s="10">
        <v>8</v>
      </c>
      <c r="P113" s="10">
        <v>0</v>
      </c>
      <c r="Q113" s="3">
        <f t="shared" si="80"/>
        <v>8</v>
      </c>
      <c r="R113" s="23">
        <v>8.3000000000000007</v>
      </c>
      <c r="S113" s="2">
        <v>9</v>
      </c>
      <c r="T113" s="2">
        <v>1</v>
      </c>
      <c r="U113" s="3">
        <f t="shared" si="81"/>
        <v>10</v>
      </c>
      <c r="V113" s="6">
        <f>189/15</f>
        <v>12.6</v>
      </c>
      <c r="W113" s="10">
        <v>8</v>
      </c>
      <c r="X113" s="10">
        <v>1</v>
      </c>
      <c r="Y113" s="3">
        <f t="shared" si="82"/>
        <v>9</v>
      </c>
      <c r="Z113" s="23">
        <f>125/15</f>
        <v>8.3333333333333339</v>
      </c>
      <c r="AA113" s="2">
        <v>13</v>
      </c>
      <c r="AB113" s="2">
        <v>1</v>
      </c>
      <c r="AC113" s="3">
        <f t="shared" si="83"/>
        <v>14</v>
      </c>
      <c r="AD113" s="6">
        <f>242.5/15</f>
        <v>16.166666666666668</v>
      </c>
      <c r="AE113" s="10">
        <v>10</v>
      </c>
      <c r="AF113" s="10">
        <v>1</v>
      </c>
      <c r="AG113" s="3">
        <f t="shared" si="84"/>
        <v>11</v>
      </c>
      <c r="AH113" s="23">
        <f>167/15</f>
        <v>11.133333333333333</v>
      </c>
      <c r="AI113" s="2">
        <v>24</v>
      </c>
      <c r="AJ113" s="2">
        <v>1</v>
      </c>
      <c r="AK113" s="3">
        <f t="shared" si="85"/>
        <v>25</v>
      </c>
      <c r="AL113" s="6">
        <f>483/15</f>
        <v>32.200000000000003</v>
      </c>
      <c r="AM113" s="10">
        <v>18</v>
      </c>
      <c r="AN113" s="10">
        <v>1</v>
      </c>
      <c r="AO113" s="3">
        <f t="shared" si="86"/>
        <v>19</v>
      </c>
      <c r="AP113" s="23">
        <f>285.5/15</f>
        <v>19.033333333333335</v>
      </c>
      <c r="AQ113" s="2">
        <v>15</v>
      </c>
      <c r="AR113" s="2">
        <v>0</v>
      </c>
      <c r="AS113" s="3">
        <f t="shared" si="87"/>
        <v>15</v>
      </c>
      <c r="AT113" s="6">
        <f>276/15</f>
        <v>18.399999999999999</v>
      </c>
      <c r="AU113" s="10">
        <v>16</v>
      </c>
      <c r="AV113" s="10">
        <v>2</v>
      </c>
      <c r="AW113" s="3">
        <f t="shared" si="88"/>
        <v>18</v>
      </c>
      <c r="AX113" s="23">
        <f>310/15</f>
        <v>20.666666666666668</v>
      </c>
      <c r="AY113" s="2">
        <v>10</v>
      </c>
      <c r="AZ113" s="2">
        <v>1</v>
      </c>
      <c r="BA113" s="3">
        <f t="shared" si="89"/>
        <v>11</v>
      </c>
      <c r="BB113" s="6">
        <f>192/15</f>
        <v>12.8</v>
      </c>
      <c r="BC113" s="10">
        <v>9</v>
      </c>
      <c r="BD113" s="10">
        <v>3</v>
      </c>
      <c r="BE113" s="3">
        <f t="shared" si="90"/>
        <v>12</v>
      </c>
      <c r="BF113" s="23">
        <f>210/15</f>
        <v>14</v>
      </c>
    </row>
    <row r="114" spans="1:147" x14ac:dyDescent="0.2">
      <c r="A114" s="36" t="s">
        <v>142</v>
      </c>
      <c r="B114" s="8" t="s">
        <v>173</v>
      </c>
      <c r="C114" s="2">
        <v>6</v>
      </c>
      <c r="D114" s="2">
        <v>4</v>
      </c>
      <c r="E114" s="3">
        <f t="shared" si="91"/>
        <v>10</v>
      </c>
      <c r="F114" s="6">
        <v>8</v>
      </c>
      <c r="G114" s="10"/>
      <c r="H114" s="10"/>
      <c r="I114" s="3">
        <f t="shared" si="79"/>
        <v>0</v>
      </c>
      <c r="J114" s="23"/>
      <c r="K114" s="2">
        <v>11</v>
      </c>
      <c r="L114" s="2">
        <v>2</v>
      </c>
      <c r="M114" s="3">
        <f t="shared" si="92"/>
        <v>13</v>
      </c>
      <c r="N114" s="6">
        <f>174/15</f>
        <v>11.6</v>
      </c>
      <c r="O114" s="10">
        <v>8</v>
      </c>
      <c r="P114" s="10">
        <v>5</v>
      </c>
      <c r="Q114" s="3">
        <f t="shared" si="80"/>
        <v>13</v>
      </c>
      <c r="R114" s="23">
        <v>11</v>
      </c>
      <c r="S114" s="2">
        <v>13</v>
      </c>
      <c r="T114" s="2">
        <v>4</v>
      </c>
      <c r="U114" s="3">
        <f t="shared" si="81"/>
        <v>17</v>
      </c>
      <c r="V114" s="6">
        <f>221/15</f>
        <v>14.733333333333333</v>
      </c>
      <c r="W114" s="10">
        <v>12</v>
      </c>
      <c r="X114" s="10">
        <v>5</v>
      </c>
      <c r="Y114" s="3">
        <f t="shared" si="82"/>
        <v>17</v>
      </c>
      <c r="Z114" s="23">
        <f>215.5/15</f>
        <v>14.366666666666667</v>
      </c>
      <c r="AA114" s="2">
        <v>11</v>
      </c>
      <c r="AB114" s="2">
        <v>6</v>
      </c>
      <c r="AC114" s="3">
        <f t="shared" si="83"/>
        <v>17</v>
      </c>
      <c r="AD114" s="6">
        <f>201/15</f>
        <v>13.4</v>
      </c>
      <c r="AE114" s="10">
        <v>13</v>
      </c>
      <c r="AF114" s="10">
        <v>3</v>
      </c>
      <c r="AG114" s="3">
        <f t="shared" si="84"/>
        <v>16</v>
      </c>
      <c r="AH114" s="23">
        <f>205.5/15</f>
        <v>13.7</v>
      </c>
      <c r="AI114" s="2">
        <v>14</v>
      </c>
      <c r="AJ114" s="2">
        <v>3</v>
      </c>
      <c r="AK114" s="3">
        <f t="shared" si="85"/>
        <v>17</v>
      </c>
      <c r="AL114" s="6">
        <f>240.5/15</f>
        <v>16.033333333333335</v>
      </c>
      <c r="AM114" s="10">
        <v>15</v>
      </c>
      <c r="AN114" s="10">
        <v>2</v>
      </c>
      <c r="AO114" s="3">
        <f t="shared" si="86"/>
        <v>17</v>
      </c>
      <c r="AP114" s="23">
        <f>266/15</f>
        <v>17.733333333333334</v>
      </c>
      <c r="AQ114" s="2">
        <v>15</v>
      </c>
      <c r="AR114" s="2">
        <v>5</v>
      </c>
      <c r="AS114" s="3">
        <f t="shared" si="87"/>
        <v>20</v>
      </c>
      <c r="AT114" s="6">
        <f>248/15</f>
        <v>16.533333333333335</v>
      </c>
      <c r="AU114" s="10">
        <v>16</v>
      </c>
      <c r="AV114" s="10">
        <v>4</v>
      </c>
      <c r="AW114" s="3">
        <f t="shared" si="88"/>
        <v>20</v>
      </c>
      <c r="AX114" s="23">
        <f>272.5/15</f>
        <v>18.166666666666668</v>
      </c>
      <c r="AY114" s="2">
        <v>15</v>
      </c>
      <c r="AZ114" s="2">
        <v>6</v>
      </c>
      <c r="BA114" s="3">
        <f t="shared" si="89"/>
        <v>21</v>
      </c>
      <c r="BB114" s="6">
        <f>279/15</f>
        <v>18.600000000000001</v>
      </c>
      <c r="BC114" s="10">
        <v>20</v>
      </c>
      <c r="BD114" s="10">
        <v>5</v>
      </c>
      <c r="BE114" s="3">
        <f t="shared" si="90"/>
        <v>25</v>
      </c>
      <c r="BF114" s="23">
        <f>345/15</f>
        <v>23</v>
      </c>
    </row>
    <row r="115" spans="1:147" x14ac:dyDescent="0.2">
      <c r="A115" s="36" t="s">
        <v>143</v>
      </c>
      <c r="B115" s="8" t="s">
        <v>174</v>
      </c>
      <c r="C115" s="2">
        <v>2</v>
      </c>
      <c r="D115" s="2">
        <v>0</v>
      </c>
      <c r="E115" s="3">
        <f t="shared" si="91"/>
        <v>2</v>
      </c>
      <c r="F115" s="6">
        <v>1.9</v>
      </c>
      <c r="G115" s="10"/>
      <c r="H115" s="10"/>
      <c r="I115" s="3">
        <f t="shared" si="79"/>
        <v>0</v>
      </c>
      <c r="J115" s="23"/>
      <c r="K115" s="2">
        <v>0</v>
      </c>
      <c r="L115" s="2">
        <v>1</v>
      </c>
      <c r="M115" s="3">
        <f t="shared" si="92"/>
        <v>1</v>
      </c>
      <c r="N115" s="6">
        <f>10/15</f>
        <v>0.66666666666666663</v>
      </c>
      <c r="O115" s="10">
        <v>0</v>
      </c>
      <c r="P115" s="10">
        <v>0</v>
      </c>
      <c r="Q115" s="3">
        <f t="shared" si="80"/>
        <v>0</v>
      </c>
      <c r="R115" s="23">
        <v>0</v>
      </c>
      <c r="S115" s="2">
        <v>0</v>
      </c>
      <c r="T115" s="2">
        <v>1</v>
      </c>
      <c r="U115" s="3">
        <f t="shared" si="81"/>
        <v>1</v>
      </c>
      <c r="V115" s="6">
        <f>3/15</f>
        <v>0.2</v>
      </c>
      <c r="W115" s="10">
        <v>0</v>
      </c>
      <c r="X115" s="10">
        <v>1</v>
      </c>
      <c r="Y115" s="3">
        <f t="shared" si="82"/>
        <v>1</v>
      </c>
      <c r="Z115" s="23">
        <f>3/15</f>
        <v>0.2</v>
      </c>
      <c r="AA115" s="2">
        <v>2</v>
      </c>
      <c r="AB115" s="2">
        <v>1</v>
      </c>
      <c r="AC115" s="3">
        <f t="shared" si="83"/>
        <v>3</v>
      </c>
      <c r="AD115" s="6">
        <f>28.5/15</f>
        <v>1.9</v>
      </c>
      <c r="AE115" s="10">
        <v>0</v>
      </c>
      <c r="AF115" s="10">
        <v>0</v>
      </c>
      <c r="AG115" s="3">
        <f t="shared" si="84"/>
        <v>0</v>
      </c>
      <c r="AH115" s="23">
        <v>0</v>
      </c>
      <c r="AI115" s="2">
        <v>1</v>
      </c>
      <c r="AJ115" s="2">
        <v>0</v>
      </c>
      <c r="AK115" s="3">
        <f t="shared" si="85"/>
        <v>1</v>
      </c>
      <c r="AL115" s="6">
        <f>13/15</f>
        <v>0.8666666666666667</v>
      </c>
      <c r="AM115" s="10">
        <v>2</v>
      </c>
      <c r="AN115" s="10">
        <v>0</v>
      </c>
      <c r="AO115" s="3">
        <f t="shared" si="86"/>
        <v>2</v>
      </c>
      <c r="AP115" s="23">
        <f>30.5/15</f>
        <v>2.0333333333333332</v>
      </c>
      <c r="AQ115" s="2">
        <v>1</v>
      </c>
      <c r="AR115" s="2">
        <v>0</v>
      </c>
      <c r="AS115" s="3">
        <f t="shared" si="87"/>
        <v>1</v>
      </c>
      <c r="AT115" s="6">
        <f>13/15</f>
        <v>0.8666666666666667</v>
      </c>
      <c r="AU115" s="10">
        <v>0</v>
      </c>
      <c r="AV115" s="10">
        <v>0</v>
      </c>
      <c r="AW115" s="3">
        <f t="shared" si="88"/>
        <v>0</v>
      </c>
      <c r="AX115" s="23">
        <v>0</v>
      </c>
      <c r="AY115" s="2">
        <v>0</v>
      </c>
      <c r="AZ115" s="2">
        <v>1</v>
      </c>
      <c r="BA115" s="3">
        <f t="shared" si="89"/>
        <v>1</v>
      </c>
      <c r="BB115" s="6">
        <f>7/15</f>
        <v>0.46666666666666667</v>
      </c>
      <c r="BC115" s="10">
        <v>0</v>
      </c>
      <c r="BD115" s="10">
        <v>0</v>
      </c>
      <c r="BE115" s="3">
        <f t="shared" si="90"/>
        <v>0</v>
      </c>
      <c r="BF115" s="23">
        <v>0</v>
      </c>
    </row>
    <row r="116" spans="1:147" x14ac:dyDescent="0.2">
      <c r="A116" s="36" t="s">
        <v>145</v>
      </c>
      <c r="B116" s="8" t="s">
        <v>176</v>
      </c>
      <c r="C116" s="2">
        <v>30</v>
      </c>
      <c r="D116" s="2">
        <v>9</v>
      </c>
      <c r="E116" s="3">
        <f t="shared" si="91"/>
        <v>39</v>
      </c>
      <c r="F116" s="6">
        <v>34.4</v>
      </c>
      <c r="G116" s="10"/>
      <c r="H116" s="10"/>
      <c r="I116" s="3">
        <f t="shared" si="79"/>
        <v>0</v>
      </c>
      <c r="J116" s="23"/>
      <c r="K116" s="2">
        <v>33</v>
      </c>
      <c r="L116" s="2">
        <v>14</v>
      </c>
      <c r="M116" s="3">
        <f t="shared" si="92"/>
        <v>47</v>
      </c>
      <c r="N116" s="6">
        <f>608.5/15</f>
        <v>40.56666666666667</v>
      </c>
      <c r="O116" s="10">
        <v>36</v>
      </c>
      <c r="P116" s="10">
        <v>9</v>
      </c>
      <c r="Q116" s="3">
        <f t="shared" si="80"/>
        <v>45</v>
      </c>
      <c r="R116" s="23">
        <v>39.1</v>
      </c>
      <c r="S116" s="2">
        <v>38</v>
      </c>
      <c r="T116" s="2">
        <v>13</v>
      </c>
      <c r="U116" s="3">
        <f t="shared" si="81"/>
        <v>51</v>
      </c>
      <c r="V116" s="6">
        <f>648.5/15</f>
        <v>43.233333333333334</v>
      </c>
      <c r="W116" s="10">
        <v>43</v>
      </c>
      <c r="X116" s="10">
        <v>5</v>
      </c>
      <c r="Y116" s="3">
        <f t="shared" si="82"/>
        <v>48</v>
      </c>
      <c r="Z116" s="23">
        <f>698/15</f>
        <v>46.533333333333331</v>
      </c>
      <c r="AA116" s="2">
        <v>35</v>
      </c>
      <c r="AB116" s="2">
        <v>7</v>
      </c>
      <c r="AC116" s="3">
        <f t="shared" si="83"/>
        <v>42</v>
      </c>
      <c r="AD116" s="6">
        <f>555/15</f>
        <v>37</v>
      </c>
      <c r="AE116" s="10">
        <v>30</v>
      </c>
      <c r="AF116" s="10">
        <v>11</v>
      </c>
      <c r="AG116" s="3">
        <f t="shared" si="84"/>
        <v>41</v>
      </c>
      <c r="AH116" s="23">
        <f>528.5/15</f>
        <v>35.233333333333334</v>
      </c>
      <c r="AI116" s="2">
        <v>39</v>
      </c>
      <c r="AJ116" s="2">
        <v>10</v>
      </c>
      <c r="AK116" s="3">
        <f t="shared" si="85"/>
        <v>49</v>
      </c>
      <c r="AL116" s="6">
        <f>651.5/15</f>
        <v>43.43333333333333</v>
      </c>
      <c r="AM116" s="10">
        <v>38</v>
      </c>
      <c r="AN116" s="10">
        <v>11</v>
      </c>
      <c r="AO116" s="3">
        <f t="shared" si="86"/>
        <v>49</v>
      </c>
      <c r="AP116" s="23">
        <f>692/15</f>
        <v>46.133333333333333</v>
      </c>
      <c r="AQ116" s="2">
        <v>29</v>
      </c>
      <c r="AR116" s="2">
        <v>8</v>
      </c>
      <c r="AS116" s="3">
        <f t="shared" si="87"/>
        <v>37</v>
      </c>
      <c r="AT116" s="6">
        <f>466.5/15</f>
        <v>31.1</v>
      </c>
      <c r="AU116" s="10">
        <v>33</v>
      </c>
      <c r="AV116" s="10">
        <v>11</v>
      </c>
      <c r="AW116" s="3">
        <f t="shared" si="88"/>
        <v>44</v>
      </c>
      <c r="AX116" s="23">
        <f>580/15</f>
        <v>38.666666666666664</v>
      </c>
      <c r="AY116" s="2">
        <v>38</v>
      </c>
      <c r="AZ116" s="2">
        <v>7</v>
      </c>
      <c r="BA116" s="3">
        <f t="shared" si="89"/>
        <v>45</v>
      </c>
      <c r="BB116" s="6">
        <f>584.5/15</f>
        <v>38.966666666666669</v>
      </c>
      <c r="BC116" s="10">
        <v>36</v>
      </c>
      <c r="BD116" s="10">
        <v>5</v>
      </c>
      <c r="BE116" s="3">
        <f t="shared" si="90"/>
        <v>41</v>
      </c>
      <c r="BF116" s="23">
        <f>604.5/15</f>
        <v>40.299999999999997</v>
      </c>
    </row>
    <row r="117" spans="1:147" hidden="1" x14ac:dyDescent="0.2">
      <c r="A117" s="36" t="s">
        <v>254</v>
      </c>
      <c r="B117" s="9" t="s">
        <v>255</v>
      </c>
      <c r="G117" s="10"/>
      <c r="H117" s="10"/>
      <c r="I117" s="3"/>
      <c r="J117" s="23"/>
      <c r="O117" s="10"/>
      <c r="P117" s="10"/>
      <c r="Q117" s="3"/>
      <c r="R117" s="23"/>
      <c r="W117" s="10"/>
      <c r="X117" s="10"/>
      <c r="Y117" s="3"/>
      <c r="Z117" s="23"/>
      <c r="AE117" s="10"/>
      <c r="AF117" s="10"/>
      <c r="AG117" s="3"/>
      <c r="AH117" s="23"/>
      <c r="AM117" s="10"/>
      <c r="AN117" s="10"/>
      <c r="AO117" s="3"/>
      <c r="AP117" s="23"/>
      <c r="AU117" s="10"/>
      <c r="AV117" s="10"/>
      <c r="AW117" s="3"/>
      <c r="AX117" s="23"/>
      <c r="AY117" s="2">
        <v>1</v>
      </c>
      <c r="AZ117" s="2">
        <v>1</v>
      </c>
      <c r="BA117" s="3">
        <f t="shared" si="89"/>
        <v>2</v>
      </c>
      <c r="BB117" s="6">
        <f>18.5/15</f>
        <v>1.2333333333333334</v>
      </c>
      <c r="BC117" s="10"/>
      <c r="BD117" s="10"/>
      <c r="BE117" s="3"/>
      <c r="BF117" s="23"/>
    </row>
    <row r="118" spans="1:147" x14ac:dyDescent="0.2">
      <c r="A118" s="36" t="s">
        <v>144</v>
      </c>
      <c r="B118" s="8" t="s">
        <v>175</v>
      </c>
      <c r="C118" s="2">
        <v>24</v>
      </c>
      <c r="D118" s="2">
        <v>5</v>
      </c>
      <c r="E118" s="3">
        <f>SUM(C118:D118)</f>
        <v>29</v>
      </c>
      <c r="F118" s="6">
        <v>26.7</v>
      </c>
      <c r="G118" s="10"/>
      <c r="H118" s="10"/>
      <c r="I118" s="3">
        <f>SUM(G118:H118)</f>
        <v>0</v>
      </c>
      <c r="J118" s="23"/>
      <c r="K118" s="2">
        <v>28</v>
      </c>
      <c r="L118" s="2">
        <v>3</v>
      </c>
      <c r="M118" s="3">
        <f t="shared" si="92"/>
        <v>31</v>
      </c>
      <c r="N118" s="6">
        <f>429/15</f>
        <v>28.6</v>
      </c>
      <c r="O118" s="10">
        <v>20</v>
      </c>
      <c r="P118" s="10">
        <v>6</v>
      </c>
      <c r="Q118" s="3">
        <f>SUM(O118:P118)</f>
        <v>26</v>
      </c>
      <c r="R118" s="23">
        <v>24.2</v>
      </c>
      <c r="S118" s="2">
        <v>29</v>
      </c>
      <c r="T118" s="2">
        <v>5</v>
      </c>
      <c r="U118" s="3">
        <f t="shared" si="81"/>
        <v>34</v>
      </c>
      <c r="V118" s="6">
        <f>471/15</f>
        <v>31.4</v>
      </c>
      <c r="W118" s="10">
        <v>21</v>
      </c>
      <c r="X118" s="10">
        <v>7</v>
      </c>
      <c r="Y118" s="3">
        <f t="shared" si="82"/>
        <v>28</v>
      </c>
      <c r="Z118" s="23">
        <f>373/15</f>
        <v>24.866666666666667</v>
      </c>
      <c r="AA118" s="2">
        <v>31</v>
      </c>
      <c r="AB118" s="2">
        <v>4</v>
      </c>
      <c r="AC118" s="3">
        <f t="shared" si="83"/>
        <v>35</v>
      </c>
      <c r="AD118" s="6">
        <f>490.5/15</f>
        <v>32.700000000000003</v>
      </c>
      <c r="AE118" s="10">
        <v>23</v>
      </c>
      <c r="AF118" s="10">
        <v>6</v>
      </c>
      <c r="AG118" s="3">
        <f t="shared" si="84"/>
        <v>29</v>
      </c>
      <c r="AH118" s="23">
        <f>414.5/15</f>
        <v>27.633333333333333</v>
      </c>
      <c r="AI118" s="2">
        <v>27</v>
      </c>
      <c r="AJ118" s="2">
        <v>4</v>
      </c>
      <c r="AK118" s="3">
        <f t="shared" si="85"/>
        <v>31</v>
      </c>
      <c r="AL118" s="6">
        <f>427.5/15</f>
        <v>28.5</v>
      </c>
      <c r="AM118" s="10">
        <v>27</v>
      </c>
      <c r="AN118" s="10">
        <v>6</v>
      </c>
      <c r="AO118" s="3">
        <f t="shared" si="86"/>
        <v>33</v>
      </c>
      <c r="AP118" s="23">
        <f>464.5/15</f>
        <v>30.966666666666665</v>
      </c>
      <c r="AQ118" s="2">
        <v>34</v>
      </c>
      <c r="AR118" s="2">
        <v>7</v>
      </c>
      <c r="AS118" s="3">
        <f t="shared" si="87"/>
        <v>41</v>
      </c>
      <c r="AT118" s="6">
        <f>562.5/15</f>
        <v>37.5</v>
      </c>
      <c r="AU118" s="10">
        <v>28</v>
      </c>
      <c r="AV118" s="10">
        <v>9</v>
      </c>
      <c r="AW118" s="3">
        <f t="shared" si="88"/>
        <v>37</v>
      </c>
      <c r="AX118" s="23">
        <f>454/15</f>
        <v>30.266666666666666</v>
      </c>
      <c r="AY118" s="2">
        <v>36</v>
      </c>
      <c r="AZ118" s="2">
        <v>5</v>
      </c>
      <c r="BA118" s="3">
        <f t="shared" si="89"/>
        <v>41</v>
      </c>
      <c r="BB118" s="6">
        <f>577/15</f>
        <v>38.466666666666669</v>
      </c>
      <c r="BC118" s="10">
        <v>32</v>
      </c>
      <c r="BD118" s="10">
        <v>3</v>
      </c>
      <c r="BE118" s="3">
        <f t="shared" si="90"/>
        <v>35</v>
      </c>
      <c r="BF118" s="23">
        <f>490/15</f>
        <v>32.666666666666664</v>
      </c>
    </row>
    <row r="119" spans="1:147" s="8" customFormat="1" x14ac:dyDescent="0.2">
      <c r="A119" s="36" t="s">
        <v>146</v>
      </c>
      <c r="B119" s="8" t="s">
        <v>177</v>
      </c>
      <c r="C119" s="2">
        <v>0</v>
      </c>
      <c r="D119" s="2">
        <v>2</v>
      </c>
      <c r="E119" s="3">
        <f>SUM(C119:D119)</f>
        <v>2</v>
      </c>
      <c r="F119" s="6">
        <v>0.7</v>
      </c>
      <c r="G119" s="10"/>
      <c r="H119" s="10"/>
      <c r="I119" s="3">
        <f>SUM(G119:H119)</f>
        <v>0</v>
      </c>
      <c r="J119" s="23"/>
      <c r="K119" s="2">
        <v>0</v>
      </c>
      <c r="L119" s="2">
        <v>3</v>
      </c>
      <c r="M119" s="3">
        <f t="shared" si="92"/>
        <v>3</v>
      </c>
      <c r="N119" s="6">
        <f>20/15</f>
        <v>1.3333333333333333</v>
      </c>
      <c r="O119" s="10">
        <v>0</v>
      </c>
      <c r="P119" s="10">
        <v>1</v>
      </c>
      <c r="Q119" s="3">
        <f>SUM(O119:P119)</f>
        <v>1</v>
      </c>
      <c r="R119" s="23">
        <v>0.3</v>
      </c>
      <c r="S119" s="2">
        <v>1</v>
      </c>
      <c r="T119" s="2">
        <v>1</v>
      </c>
      <c r="U119" s="3">
        <f t="shared" si="81"/>
        <v>2</v>
      </c>
      <c r="V119" s="6">
        <f>20/15</f>
        <v>1.3333333333333333</v>
      </c>
      <c r="W119" s="10">
        <v>1</v>
      </c>
      <c r="X119" s="10">
        <v>0</v>
      </c>
      <c r="Y119" s="3">
        <f t="shared" si="82"/>
        <v>1</v>
      </c>
      <c r="Z119" s="23">
        <f>13/15</f>
        <v>0.8666666666666667</v>
      </c>
      <c r="AA119" s="2">
        <v>1</v>
      </c>
      <c r="AB119" s="2">
        <v>1</v>
      </c>
      <c r="AC119" s="3">
        <f t="shared" si="83"/>
        <v>2</v>
      </c>
      <c r="AD119" s="6">
        <f>18/15</f>
        <v>1.2</v>
      </c>
      <c r="AE119" s="10">
        <v>1</v>
      </c>
      <c r="AF119" s="10">
        <v>1</v>
      </c>
      <c r="AG119" s="3">
        <f t="shared" si="84"/>
        <v>2</v>
      </c>
      <c r="AH119" s="23">
        <f>21.5/15</f>
        <v>1.4333333333333333</v>
      </c>
      <c r="AI119" s="2">
        <v>1</v>
      </c>
      <c r="AJ119" s="2">
        <v>1</v>
      </c>
      <c r="AK119" s="3">
        <f t="shared" si="85"/>
        <v>2</v>
      </c>
      <c r="AL119" s="6">
        <f>22.5/15</f>
        <v>1.5</v>
      </c>
      <c r="AM119" s="10">
        <v>2</v>
      </c>
      <c r="AN119" s="10">
        <v>1</v>
      </c>
      <c r="AO119" s="3">
        <f t="shared" si="86"/>
        <v>3</v>
      </c>
      <c r="AP119" s="23">
        <f>35.5/15</f>
        <v>2.3666666666666667</v>
      </c>
      <c r="AQ119" s="2">
        <v>2</v>
      </c>
      <c r="AR119" s="2">
        <v>0</v>
      </c>
      <c r="AS119" s="3">
        <f t="shared" si="87"/>
        <v>2</v>
      </c>
      <c r="AT119" s="6">
        <f>26.5/15</f>
        <v>1.7666666666666666</v>
      </c>
      <c r="AU119" s="10">
        <v>0</v>
      </c>
      <c r="AV119" s="10">
        <v>0</v>
      </c>
      <c r="AW119" s="3">
        <f t="shared" si="88"/>
        <v>0</v>
      </c>
      <c r="AX119" s="23">
        <v>0</v>
      </c>
      <c r="AY119" s="2">
        <v>2</v>
      </c>
      <c r="AZ119" s="2">
        <v>4</v>
      </c>
      <c r="BA119" s="3">
        <f t="shared" si="89"/>
        <v>6</v>
      </c>
      <c r="BB119" s="6">
        <f>57.5/15</f>
        <v>3.8333333333333335</v>
      </c>
      <c r="BC119" s="10">
        <v>2</v>
      </c>
      <c r="BD119" s="10">
        <v>3</v>
      </c>
      <c r="BE119" s="3">
        <f t="shared" si="90"/>
        <v>5</v>
      </c>
      <c r="BF119" s="23">
        <f>44.5/15</f>
        <v>2.9666666666666668</v>
      </c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</row>
    <row r="120" spans="1:147" x14ac:dyDescent="0.2">
      <c r="A120" s="36" t="s">
        <v>147</v>
      </c>
      <c r="B120" s="8" t="s">
        <v>178</v>
      </c>
      <c r="C120" s="2">
        <v>38</v>
      </c>
      <c r="D120" s="2">
        <v>6</v>
      </c>
      <c r="E120" s="3">
        <f>SUM(C120:D120)</f>
        <v>44</v>
      </c>
      <c r="F120" s="6">
        <v>42.4</v>
      </c>
      <c r="G120" s="10"/>
      <c r="H120" s="10"/>
      <c r="I120" s="3">
        <f>SUM(G120:H120)</f>
        <v>0</v>
      </c>
      <c r="J120" s="23"/>
      <c r="K120" s="2">
        <v>45</v>
      </c>
      <c r="L120" s="2">
        <v>5</v>
      </c>
      <c r="M120" s="3">
        <f t="shared" si="92"/>
        <v>50</v>
      </c>
      <c r="N120" s="6">
        <f>714.5/15</f>
        <v>47.633333333333333</v>
      </c>
      <c r="O120" s="10">
        <v>37</v>
      </c>
      <c r="P120" s="10">
        <v>9</v>
      </c>
      <c r="Q120" s="3">
        <f>SUM(O120:P120)</f>
        <v>46</v>
      </c>
      <c r="R120" s="23">
        <v>41</v>
      </c>
      <c r="S120" s="2">
        <v>57</v>
      </c>
      <c r="T120" s="2">
        <v>5</v>
      </c>
      <c r="U120" s="3">
        <f t="shared" si="81"/>
        <v>62</v>
      </c>
      <c r="V120" s="6">
        <f>896.5/15</f>
        <v>59.766666666666666</v>
      </c>
      <c r="W120" s="10">
        <v>48</v>
      </c>
      <c r="X120" s="10">
        <v>4</v>
      </c>
      <c r="Y120" s="3">
        <f t="shared" si="82"/>
        <v>52</v>
      </c>
      <c r="Z120" s="23">
        <f>754/15</f>
        <v>50.266666666666666</v>
      </c>
      <c r="AA120" s="2">
        <v>52</v>
      </c>
      <c r="AB120" s="2">
        <v>2</v>
      </c>
      <c r="AC120" s="3">
        <f t="shared" si="83"/>
        <v>54</v>
      </c>
      <c r="AD120" s="6">
        <f>845/15</f>
        <v>56.333333333333336</v>
      </c>
      <c r="AE120" s="10">
        <v>45</v>
      </c>
      <c r="AF120" s="10">
        <v>3</v>
      </c>
      <c r="AG120" s="3">
        <f t="shared" si="84"/>
        <v>48</v>
      </c>
      <c r="AH120" s="23">
        <f>731/15</f>
        <v>48.733333333333334</v>
      </c>
      <c r="AI120" s="2">
        <v>60</v>
      </c>
      <c r="AJ120" s="2">
        <v>6</v>
      </c>
      <c r="AK120" s="3">
        <f t="shared" si="85"/>
        <v>66</v>
      </c>
      <c r="AL120" s="6">
        <f>1013/15</f>
        <v>67.533333333333331</v>
      </c>
      <c r="AM120" s="10">
        <v>44</v>
      </c>
      <c r="AN120" s="10">
        <v>4</v>
      </c>
      <c r="AO120" s="3">
        <f t="shared" si="86"/>
        <v>48</v>
      </c>
      <c r="AP120" s="23">
        <f>746/15</f>
        <v>49.733333333333334</v>
      </c>
      <c r="AQ120" s="2">
        <v>44</v>
      </c>
      <c r="AR120" s="2">
        <v>7</v>
      </c>
      <c r="AS120" s="3">
        <f t="shared" si="87"/>
        <v>51</v>
      </c>
      <c r="AT120" s="6">
        <f>747.5/15</f>
        <v>49.833333333333336</v>
      </c>
      <c r="AU120" s="10">
        <v>37</v>
      </c>
      <c r="AV120" s="10">
        <v>6</v>
      </c>
      <c r="AW120" s="3">
        <f t="shared" si="88"/>
        <v>43</v>
      </c>
      <c r="AX120" s="23">
        <f>621.5/15</f>
        <v>41.43333333333333</v>
      </c>
      <c r="AY120" s="2">
        <v>39</v>
      </c>
      <c r="AZ120" s="2">
        <v>4</v>
      </c>
      <c r="BA120" s="3">
        <f t="shared" si="89"/>
        <v>43</v>
      </c>
      <c r="BB120" s="6">
        <f>627/15</f>
        <v>41.8</v>
      </c>
      <c r="BC120" s="10">
        <v>37</v>
      </c>
      <c r="BD120" s="10">
        <v>7</v>
      </c>
      <c r="BE120" s="3">
        <f t="shared" si="90"/>
        <v>44</v>
      </c>
      <c r="BF120" s="23">
        <f>644.5/15</f>
        <v>42.966666666666669</v>
      </c>
    </row>
    <row r="121" spans="1:147" hidden="1" x14ac:dyDescent="0.2">
      <c r="A121" s="36" t="s">
        <v>148</v>
      </c>
      <c r="B121" s="8" t="s">
        <v>179</v>
      </c>
      <c r="C121" s="29"/>
      <c r="D121" s="29"/>
      <c r="E121" s="30"/>
      <c r="F121" s="31"/>
      <c r="G121" s="29"/>
      <c r="H121" s="29"/>
      <c r="I121" s="30"/>
      <c r="J121" s="33"/>
      <c r="K121" s="29"/>
      <c r="L121" s="29"/>
      <c r="M121" s="30"/>
      <c r="N121" s="31"/>
      <c r="O121" s="29"/>
      <c r="P121" s="29"/>
      <c r="Q121" s="30"/>
      <c r="R121" s="33"/>
      <c r="S121" s="2">
        <v>1</v>
      </c>
      <c r="T121" s="2">
        <v>0</v>
      </c>
      <c r="U121" s="3">
        <f t="shared" si="81"/>
        <v>1</v>
      </c>
      <c r="V121" s="6">
        <f>12/15</f>
        <v>0.8</v>
      </c>
      <c r="W121" s="10">
        <v>1</v>
      </c>
      <c r="X121" s="10">
        <v>0</v>
      </c>
      <c r="Y121" s="3">
        <f t="shared" si="82"/>
        <v>1</v>
      </c>
      <c r="Z121" s="23">
        <f>12/15</f>
        <v>0.8</v>
      </c>
      <c r="AA121" s="2">
        <v>1</v>
      </c>
      <c r="AB121" s="2">
        <v>0</v>
      </c>
      <c r="AC121" s="3">
        <f t="shared" si="83"/>
        <v>1</v>
      </c>
      <c r="AD121" s="6">
        <f>15.5/15</f>
        <v>1.0333333333333334</v>
      </c>
      <c r="AE121" s="10">
        <v>0</v>
      </c>
      <c r="AF121" s="10">
        <v>0</v>
      </c>
      <c r="AG121" s="3">
        <f t="shared" si="84"/>
        <v>0</v>
      </c>
      <c r="AH121" s="23">
        <v>0</v>
      </c>
      <c r="AI121" s="2">
        <v>3</v>
      </c>
      <c r="AJ121" s="2">
        <v>0</v>
      </c>
      <c r="AK121" s="3">
        <f t="shared" si="85"/>
        <v>3</v>
      </c>
      <c r="AL121" s="6">
        <f>40/15</f>
        <v>2.6666666666666665</v>
      </c>
      <c r="AM121" s="10">
        <v>1</v>
      </c>
      <c r="AN121" s="10">
        <v>0</v>
      </c>
      <c r="AO121" s="3">
        <f t="shared" si="86"/>
        <v>1</v>
      </c>
      <c r="AP121" s="23">
        <f>14.5/15</f>
        <v>0.96666666666666667</v>
      </c>
      <c r="AQ121" s="2">
        <v>3</v>
      </c>
      <c r="AR121" s="2">
        <v>0</v>
      </c>
      <c r="AS121" s="3">
        <f t="shared" si="87"/>
        <v>3</v>
      </c>
      <c r="AT121" s="6">
        <f>51.5/15</f>
        <v>3.4333333333333331</v>
      </c>
      <c r="AU121" s="10">
        <v>1</v>
      </c>
      <c r="AV121" s="10">
        <v>0</v>
      </c>
      <c r="AW121" s="3">
        <f t="shared" si="88"/>
        <v>1</v>
      </c>
      <c r="AX121" s="23">
        <f>15.5/15</f>
        <v>1.0333333333333334</v>
      </c>
      <c r="AY121" s="2">
        <v>1</v>
      </c>
      <c r="AZ121" s="2">
        <v>0</v>
      </c>
      <c r="BA121" s="3">
        <f t="shared" si="89"/>
        <v>1</v>
      </c>
      <c r="BB121" s="6">
        <f>12/15</f>
        <v>0.8</v>
      </c>
      <c r="BC121" s="10">
        <v>1</v>
      </c>
      <c r="BD121" s="10">
        <v>0</v>
      </c>
      <c r="BE121" s="3">
        <f t="shared" si="90"/>
        <v>1</v>
      </c>
      <c r="BF121" s="23">
        <f>13/15</f>
        <v>0.8666666666666667</v>
      </c>
    </row>
    <row r="122" spans="1:147" x14ac:dyDescent="0.2">
      <c r="A122" s="36" t="s">
        <v>207</v>
      </c>
      <c r="B122" s="9" t="s">
        <v>208</v>
      </c>
      <c r="C122" s="28">
        <v>1</v>
      </c>
      <c r="D122" s="40">
        <v>2</v>
      </c>
      <c r="E122" s="3">
        <f t="shared" ref="E122:E128" si="93">SUM(C122:D122)</f>
        <v>3</v>
      </c>
      <c r="F122" s="6">
        <v>2.4</v>
      </c>
      <c r="G122" s="10"/>
      <c r="H122" s="10"/>
      <c r="I122" s="3">
        <f t="shared" ref="I122:I128" si="94">SUM(G122:H122)</f>
        <v>0</v>
      </c>
      <c r="J122" s="23"/>
      <c r="K122" s="28">
        <v>2</v>
      </c>
      <c r="L122" s="40">
        <v>0</v>
      </c>
      <c r="M122" s="3">
        <f t="shared" ref="M122:M128" si="95">SUM(K122:L122)</f>
        <v>2</v>
      </c>
      <c r="N122" s="6">
        <f>30.5/15</f>
        <v>2.0333333333333332</v>
      </c>
      <c r="O122" s="10">
        <v>1</v>
      </c>
      <c r="P122" s="10">
        <v>1</v>
      </c>
      <c r="Q122" s="3">
        <f t="shared" ref="Q122:Q128" si="96">SUM(O122:P122)</f>
        <v>2</v>
      </c>
      <c r="R122" s="23">
        <v>2</v>
      </c>
      <c r="S122" s="28">
        <v>4</v>
      </c>
      <c r="T122" s="40">
        <v>1</v>
      </c>
      <c r="U122" s="3">
        <f t="shared" si="81"/>
        <v>5</v>
      </c>
      <c r="V122" s="6">
        <f>55/15</f>
        <v>3.6666666666666665</v>
      </c>
      <c r="W122" s="10">
        <v>3</v>
      </c>
      <c r="X122" s="10">
        <v>0</v>
      </c>
      <c r="Y122" s="3">
        <f t="shared" si="82"/>
        <v>3</v>
      </c>
      <c r="Z122" s="23">
        <f>52/15</f>
        <v>3.4666666666666668</v>
      </c>
      <c r="AA122" s="28">
        <v>2</v>
      </c>
      <c r="AB122" s="40">
        <v>3</v>
      </c>
      <c r="AC122" s="3">
        <f t="shared" si="83"/>
        <v>5</v>
      </c>
      <c r="AD122" s="6">
        <f>52/15</f>
        <v>3.4666666666666668</v>
      </c>
      <c r="AE122" s="10">
        <v>4</v>
      </c>
      <c r="AF122" s="10">
        <v>2</v>
      </c>
      <c r="AG122" s="3">
        <f t="shared" si="84"/>
        <v>6</v>
      </c>
      <c r="AH122" s="25">
        <f>69/15</f>
        <v>4.5999999999999996</v>
      </c>
      <c r="AI122" s="28">
        <v>4</v>
      </c>
      <c r="AJ122" s="40">
        <v>2</v>
      </c>
      <c r="AK122" s="3">
        <f t="shared" si="85"/>
        <v>6</v>
      </c>
      <c r="AL122" s="6">
        <f>73/15</f>
        <v>4.8666666666666663</v>
      </c>
      <c r="AM122" s="10">
        <v>4</v>
      </c>
      <c r="AN122" s="10">
        <v>0</v>
      </c>
      <c r="AO122" s="3">
        <f t="shared" si="86"/>
        <v>4</v>
      </c>
      <c r="AP122" s="25">
        <f>57/15</f>
        <v>3.8</v>
      </c>
      <c r="AQ122" s="28">
        <v>1</v>
      </c>
      <c r="AR122" s="40">
        <v>1</v>
      </c>
      <c r="AS122" s="3">
        <f t="shared" si="87"/>
        <v>2</v>
      </c>
      <c r="AT122" s="6">
        <f>23/15</f>
        <v>1.5333333333333334</v>
      </c>
      <c r="AU122" s="10">
        <v>5</v>
      </c>
      <c r="AV122" s="10">
        <v>2</v>
      </c>
      <c r="AW122" s="3">
        <f t="shared" si="88"/>
        <v>7</v>
      </c>
      <c r="AX122" s="25">
        <f>86.5/15</f>
        <v>5.7666666666666666</v>
      </c>
      <c r="AY122" s="34"/>
      <c r="AZ122" s="31"/>
      <c r="BA122" s="30"/>
      <c r="BB122" s="31"/>
      <c r="BC122" s="10">
        <v>2</v>
      </c>
      <c r="BD122" s="10">
        <v>1</v>
      </c>
      <c r="BE122" s="3">
        <f t="shared" si="90"/>
        <v>3</v>
      </c>
      <c r="BF122" s="25">
        <f>30/15</f>
        <v>2</v>
      </c>
    </row>
    <row r="123" spans="1:147" x14ac:dyDescent="0.2">
      <c r="A123" s="36" t="s">
        <v>149</v>
      </c>
      <c r="B123" s="8" t="s">
        <v>180</v>
      </c>
      <c r="C123" s="2">
        <v>1</v>
      </c>
      <c r="D123" s="2">
        <v>2</v>
      </c>
      <c r="E123" s="3">
        <f t="shared" si="93"/>
        <v>3</v>
      </c>
      <c r="F123" s="6">
        <v>1.8</v>
      </c>
      <c r="G123" s="10"/>
      <c r="H123" s="10"/>
      <c r="I123" s="3">
        <f t="shared" si="94"/>
        <v>0</v>
      </c>
      <c r="J123" s="23"/>
      <c r="K123" s="2">
        <v>10</v>
      </c>
      <c r="L123" s="2">
        <v>1</v>
      </c>
      <c r="M123" s="3">
        <f t="shared" si="95"/>
        <v>11</v>
      </c>
      <c r="N123" s="6">
        <f>153/15</f>
        <v>10.199999999999999</v>
      </c>
      <c r="O123" s="10">
        <v>7</v>
      </c>
      <c r="P123" s="10">
        <v>2</v>
      </c>
      <c r="Q123" s="3">
        <f t="shared" si="96"/>
        <v>9</v>
      </c>
      <c r="R123" s="23">
        <v>8.5</v>
      </c>
      <c r="S123" s="2">
        <v>17</v>
      </c>
      <c r="T123" s="2">
        <v>0</v>
      </c>
      <c r="U123" s="3">
        <f t="shared" si="81"/>
        <v>17</v>
      </c>
      <c r="V123" s="6">
        <f>267/15</f>
        <v>17.8</v>
      </c>
      <c r="W123" s="10">
        <v>15</v>
      </c>
      <c r="X123" s="10">
        <v>2</v>
      </c>
      <c r="Y123" s="3">
        <f t="shared" si="82"/>
        <v>17</v>
      </c>
      <c r="Z123" s="23">
        <f>225/15</f>
        <v>15</v>
      </c>
      <c r="AA123" s="2">
        <v>7</v>
      </c>
      <c r="AB123" s="2">
        <v>5</v>
      </c>
      <c r="AC123" s="3">
        <f t="shared" si="83"/>
        <v>12</v>
      </c>
      <c r="AD123" s="6">
        <f>162/15</f>
        <v>10.8</v>
      </c>
      <c r="AE123" s="10">
        <v>10</v>
      </c>
      <c r="AF123" s="10">
        <v>3</v>
      </c>
      <c r="AG123" s="3">
        <f t="shared" si="84"/>
        <v>13</v>
      </c>
      <c r="AH123" s="23">
        <f>160.5/15</f>
        <v>10.7</v>
      </c>
      <c r="AI123" s="2">
        <v>14</v>
      </c>
      <c r="AJ123" s="2">
        <v>3</v>
      </c>
      <c r="AK123" s="3">
        <f t="shared" si="85"/>
        <v>17</v>
      </c>
      <c r="AL123" s="6">
        <f>240.5/15</f>
        <v>16.033333333333335</v>
      </c>
      <c r="AM123" s="10">
        <v>13</v>
      </c>
      <c r="AN123" s="10">
        <v>2</v>
      </c>
      <c r="AO123" s="3">
        <f t="shared" si="86"/>
        <v>15</v>
      </c>
      <c r="AP123" s="23">
        <f>223/15</f>
        <v>14.866666666666667</v>
      </c>
      <c r="AQ123" s="2">
        <v>9</v>
      </c>
      <c r="AR123" s="2">
        <v>2</v>
      </c>
      <c r="AS123" s="3">
        <f t="shared" si="87"/>
        <v>11</v>
      </c>
      <c r="AT123" s="6">
        <f>168.5/15</f>
        <v>11.233333333333333</v>
      </c>
      <c r="AU123" s="10">
        <v>8</v>
      </c>
      <c r="AV123" s="10">
        <v>1</v>
      </c>
      <c r="AW123" s="3">
        <f t="shared" si="88"/>
        <v>9</v>
      </c>
      <c r="AX123" s="23">
        <f>133.5/15</f>
        <v>8.9</v>
      </c>
      <c r="AY123" s="2">
        <v>12</v>
      </c>
      <c r="AZ123" s="2">
        <v>3</v>
      </c>
      <c r="BA123" s="3">
        <f t="shared" ref="BA123:BA130" si="97">SUM(AY123:AZ123)</f>
        <v>15</v>
      </c>
      <c r="BB123" s="6">
        <f>216.5/15</f>
        <v>14.433333333333334</v>
      </c>
      <c r="BC123" s="10">
        <v>11</v>
      </c>
      <c r="BD123" s="10">
        <v>3</v>
      </c>
      <c r="BE123" s="3">
        <f t="shared" si="90"/>
        <v>14</v>
      </c>
      <c r="BF123" s="23">
        <f>181.5/15</f>
        <v>12.1</v>
      </c>
    </row>
    <row r="124" spans="1:147" x14ac:dyDescent="0.2">
      <c r="A124" s="36" t="s">
        <v>27</v>
      </c>
      <c r="B124" s="8" t="s">
        <v>184</v>
      </c>
      <c r="C124" s="2">
        <v>0</v>
      </c>
      <c r="D124" s="2">
        <v>0</v>
      </c>
      <c r="E124" s="3">
        <f t="shared" si="93"/>
        <v>0</v>
      </c>
      <c r="F124" s="6">
        <v>0</v>
      </c>
      <c r="G124" s="10"/>
      <c r="H124" s="10"/>
      <c r="I124" s="3">
        <f t="shared" si="94"/>
        <v>0</v>
      </c>
      <c r="J124" s="23"/>
      <c r="K124" s="2">
        <v>0</v>
      </c>
      <c r="L124" s="2">
        <v>0</v>
      </c>
      <c r="M124" s="3">
        <f t="shared" si="95"/>
        <v>0</v>
      </c>
      <c r="N124" s="6">
        <v>0</v>
      </c>
      <c r="O124" s="10">
        <v>0</v>
      </c>
      <c r="P124" s="10">
        <v>0</v>
      </c>
      <c r="Q124" s="3">
        <f t="shared" si="96"/>
        <v>0</v>
      </c>
      <c r="R124" s="23">
        <v>0</v>
      </c>
      <c r="S124" s="2">
        <v>0</v>
      </c>
      <c r="T124" s="2">
        <v>0</v>
      </c>
      <c r="U124" s="3">
        <f t="shared" si="81"/>
        <v>0</v>
      </c>
      <c r="V124" s="6">
        <v>0</v>
      </c>
      <c r="W124" s="10">
        <v>0</v>
      </c>
      <c r="X124" s="10">
        <v>0</v>
      </c>
      <c r="Y124" s="3">
        <f t="shared" si="82"/>
        <v>0</v>
      </c>
      <c r="Z124" s="23">
        <v>0</v>
      </c>
      <c r="AA124" s="2">
        <v>0</v>
      </c>
      <c r="AB124" s="2">
        <v>0</v>
      </c>
      <c r="AC124" s="3">
        <f t="shared" si="83"/>
        <v>0</v>
      </c>
      <c r="AD124" s="6">
        <v>0</v>
      </c>
      <c r="AE124" s="10">
        <v>0</v>
      </c>
      <c r="AF124" s="10">
        <v>0</v>
      </c>
      <c r="AG124" s="3">
        <f t="shared" si="84"/>
        <v>0</v>
      </c>
      <c r="AH124" s="23">
        <v>0</v>
      </c>
      <c r="AI124" s="2">
        <v>0</v>
      </c>
      <c r="AJ124" s="2">
        <v>0</v>
      </c>
      <c r="AK124" s="3">
        <f t="shared" si="85"/>
        <v>0</v>
      </c>
      <c r="AL124" s="6">
        <v>0</v>
      </c>
      <c r="AM124" s="10">
        <v>0</v>
      </c>
      <c r="AN124" s="10">
        <v>0</v>
      </c>
      <c r="AO124" s="3">
        <f t="shared" si="86"/>
        <v>0</v>
      </c>
      <c r="AP124" s="23">
        <v>0</v>
      </c>
      <c r="AQ124" s="2">
        <v>0</v>
      </c>
      <c r="AR124" s="2">
        <v>0</v>
      </c>
      <c r="AS124" s="3">
        <f t="shared" si="87"/>
        <v>0</v>
      </c>
      <c r="AT124" s="6">
        <v>0</v>
      </c>
      <c r="AU124" s="10">
        <v>0</v>
      </c>
      <c r="AV124" s="10">
        <v>0</v>
      </c>
      <c r="AW124" s="3">
        <f t="shared" si="88"/>
        <v>0</v>
      </c>
      <c r="AX124" s="23">
        <v>0</v>
      </c>
      <c r="AY124" s="2">
        <v>0</v>
      </c>
      <c r="AZ124" s="2">
        <v>0</v>
      </c>
      <c r="BA124" s="3">
        <f t="shared" si="97"/>
        <v>0</v>
      </c>
      <c r="BB124" s="6">
        <v>0</v>
      </c>
      <c r="BC124" s="10">
        <v>0</v>
      </c>
      <c r="BD124" s="10">
        <v>0</v>
      </c>
      <c r="BE124" s="3">
        <f t="shared" si="90"/>
        <v>0</v>
      </c>
      <c r="BF124" s="23">
        <f>0/15</f>
        <v>0</v>
      </c>
    </row>
    <row r="125" spans="1:147" x14ac:dyDescent="0.2">
      <c r="A125" s="36" t="s">
        <v>150</v>
      </c>
      <c r="B125" s="8" t="s">
        <v>185</v>
      </c>
      <c r="C125" s="2">
        <v>4</v>
      </c>
      <c r="D125" s="2">
        <v>6</v>
      </c>
      <c r="E125" s="3">
        <f t="shared" si="93"/>
        <v>10</v>
      </c>
      <c r="F125" s="6">
        <v>5.5</v>
      </c>
      <c r="G125" s="10"/>
      <c r="H125" s="10"/>
      <c r="I125" s="3">
        <f t="shared" si="94"/>
        <v>0</v>
      </c>
      <c r="J125" s="23"/>
      <c r="K125" s="2">
        <v>3</v>
      </c>
      <c r="L125" s="2">
        <v>2</v>
      </c>
      <c r="M125" s="3">
        <f t="shared" si="95"/>
        <v>5</v>
      </c>
      <c r="N125" s="6">
        <f>48/15</f>
        <v>3.2</v>
      </c>
      <c r="O125" s="10">
        <v>2</v>
      </c>
      <c r="P125" s="10">
        <v>2</v>
      </c>
      <c r="Q125" s="3">
        <f t="shared" si="96"/>
        <v>4</v>
      </c>
      <c r="R125" s="23">
        <v>2.7</v>
      </c>
      <c r="S125" s="2">
        <v>5</v>
      </c>
      <c r="T125" s="2">
        <v>5</v>
      </c>
      <c r="U125" s="3">
        <f t="shared" si="81"/>
        <v>10</v>
      </c>
      <c r="V125" s="6">
        <f>89.5/15</f>
        <v>5.9666666666666668</v>
      </c>
      <c r="W125" s="10">
        <v>3</v>
      </c>
      <c r="X125" s="10">
        <v>4</v>
      </c>
      <c r="Y125" s="3">
        <f t="shared" si="82"/>
        <v>7</v>
      </c>
      <c r="Z125" s="23">
        <f>61/15</f>
        <v>4.0666666666666664</v>
      </c>
      <c r="AA125" s="2">
        <v>5</v>
      </c>
      <c r="AB125" s="2">
        <v>4</v>
      </c>
      <c r="AC125" s="3">
        <f t="shared" si="83"/>
        <v>9</v>
      </c>
      <c r="AD125" s="6">
        <f>86.5/15</f>
        <v>5.7666666666666666</v>
      </c>
      <c r="AE125" s="10">
        <v>8</v>
      </c>
      <c r="AF125" s="10">
        <v>2</v>
      </c>
      <c r="AG125" s="3">
        <f t="shared" si="84"/>
        <v>10</v>
      </c>
      <c r="AH125" s="23">
        <f>132.5/15</f>
        <v>8.8333333333333339</v>
      </c>
      <c r="AI125" s="2">
        <v>7</v>
      </c>
      <c r="AJ125" s="2">
        <v>1</v>
      </c>
      <c r="AK125" s="3">
        <f t="shared" si="85"/>
        <v>8</v>
      </c>
      <c r="AL125" s="6">
        <f>98/15</f>
        <v>6.5333333333333332</v>
      </c>
      <c r="AM125" s="10">
        <v>8</v>
      </c>
      <c r="AN125" s="10">
        <v>3</v>
      </c>
      <c r="AO125" s="3">
        <f t="shared" si="86"/>
        <v>11</v>
      </c>
      <c r="AP125" s="23">
        <f>140.5/15</f>
        <v>9.3666666666666671</v>
      </c>
      <c r="AQ125" s="2">
        <v>6</v>
      </c>
      <c r="AR125" s="2">
        <v>6</v>
      </c>
      <c r="AS125" s="3">
        <f t="shared" si="87"/>
        <v>12</v>
      </c>
      <c r="AT125" s="6">
        <f>125.5/15</f>
        <v>8.3666666666666671</v>
      </c>
      <c r="AU125" s="10">
        <v>5</v>
      </c>
      <c r="AV125" s="10">
        <v>4</v>
      </c>
      <c r="AW125" s="3">
        <f t="shared" si="88"/>
        <v>9</v>
      </c>
      <c r="AX125" s="23">
        <f>105/15</f>
        <v>7</v>
      </c>
      <c r="AY125" s="2">
        <v>4</v>
      </c>
      <c r="AZ125" s="2">
        <v>6</v>
      </c>
      <c r="BA125" s="3">
        <f t="shared" si="97"/>
        <v>10</v>
      </c>
      <c r="BB125" s="6">
        <f>96/15</f>
        <v>6.4</v>
      </c>
      <c r="BC125" s="10">
        <v>8</v>
      </c>
      <c r="BD125" s="10">
        <v>4</v>
      </c>
      <c r="BE125" s="3">
        <f t="shared" si="90"/>
        <v>12</v>
      </c>
      <c r="BF125" s="23">
        <f>140.5/15</f>
        <v>9.3666666666666671</v>
      </c>
    </row>
    <row r="126" spans="1:147" x14ac:dyDescent="0.2">
      <c r="A126" s="36" t="s">
        <v>153</v>
      </c>
      <c r="B126" s="8" t="s">
        <v>186</v>
      </c>
      <c r="C126" s="5">
        <v>1</v>
      </c>
      <c r="D126" s="5">
        <v>0</v>
      </c>
      <c r="E126" s="3">
        <f t="shared" si="93"/>
        <v>1</v>
      </c>
      <c r="F126" s="6">
        <v>1</v>
      </c>
      <c r="G126" s="5"/>
      <c r="H126" s="10"/>
      <c r="I126" s="3">
        <f t="shared" si="94"/>
        <v>0</v>
      </c>
      <c r="J126" s="23"/>
      <c r="K126" s="5">
        <v>6</v>
      </c>
      <c r="L126" s="5">
        <v>0</v>
      </c>
      <c r="M126" s="3">
        <f t="shared" si="95"/>
        <v>6</v>
      </c>
      <c r="N126" s="6">
        <f>89/15</f>
        <v>5.9333333333333336</v>
      </c>
      <c r="O126" s="5">
        <v>3</v>
      </c>
      <c r="P126" s="10">
        <v>0</v>
      </c>
      <c r="Q126" s="3">
        <f t="shared" si="96"/>
        <v>3</v>
      </c>
      <c r="R126" s="23">
        <v>2.5</v>
      </c>
      <c r="S126" s="5">
        <v>8</v>
      </c>
      <c r="T126" s="5">
        <v>1</v>
      </c>
      <c r="U126" s="3">
        <f t="shared" si="81"/>
        <v>9</v>
      </c>
      <c r="V126" s="6">
        <f>128.5/15</f>
        <v>8.5666666666666664</v>
      </c>
      <c r="W126" s="5">
        <v>8</v>
      </c>
      <c r="X126" s="10">
        <v>2</v>
      </c>
      <c r="Y126" s="3">
        <f t="shared" si="82"/>
        <v>10</v>
      </c>
      <c r="Z126" s="23">
        <f>139/15</f>
        <v>9.2666666666666675</v>
      </c>
      <c r="AA126" s="5">
        <v>7</v>
      </c>
      <c r="AB126" s="5">
        <v>1</v>
      </c>
      <c r="AC126" s="3">
        <f t="shared" si="83"/>
        <v>8</v>
      </c>
      <c r="AD126" s="6">
        <f>106/15</f>
        <v>7.0666666666666664</v>
      </c>
      <c r="AE126" s="5">
        <v>7</v>
      </c>
      <c r="AF126" s="10">
        <v>0</v>
      </c>
      <c r="AG126" s="3">
        <f t="shared" si="84"/>
        <v>7</v>
      </c>
      <c r="AH126" s="23">
        <f>104.5/15</f>
        <v>6.9666666666666668</v>
      </c>
      <c r="AI126" s="5">
        <v>3</v>
      </c>
      <c r="AJ126" s="5">
        <v>0</v>
      </c>
      <c r="AK126" s="3">
        <f t="shared" si="85"/>
        <v>3</v>
      </c>
      <c r="AL126" s="6">
        <f>46.5/15</f>
        <v>3.1</v>
      </c>
      <c r="AM126" s="5">
        <v>5</v>
      </c>
      <c r="AN126" s="10">
        <v>2</v>
      </c>
      <c r="AO126" s="3">
        <f t="shared" si="86"/>
        <v>7</v>
      </c>
      <c r="AP126" s="23">
        <f>84/15</f>
        <v>5.6</v>
      </c>
      <c r="AQ126" s="5">
        <v>3</v>
      </c>
      <c r="AR126" s="5">
        <v>0</v>
      </c>
      <c r="AS126" s="3">
        <f t="shared" si="87"/>
        <v>3</v>
      </c>
      <c r="AT126" s="6">
        <f>40.5/15</f>
        <v>2.7</v>
      </c>
      <c r="AU126" s="5">
        <v>1</v>
      </c>
      <c r="AV126" s="10">
        <v>2</v>
      </c>
      <c r="AW126" s="3">
        <f t="shared" si="88"/>
        <v>3</v>
      </c>
      <c r="AX126" s="23">
        <f>38.5/15</f>
        <v>2.5666666666666669</v>
      </c>
      <c r="AY126" s="5">
        <v>1</v>
      </c>
      <c r="AZ126" s="5">
        <v>0</v>
      </c>
      <c r="BA126" s="3">
        <f t="shared" si="97"/>
        <v>1</v>
      </c>
      <c r="BB126" s="6">
        <f>12/15</f>
        <v>0.8</v>
      </c>
      <c r="BC126" s="5">
        <v>2</v>
      </c>
      <c r="BD126" s="10">
        <v>0</v>
      </c>
      <c r="BE126" s="3">
        <f t="shared" si="90"/>
        <v>2</v>
      </c>
      <c r="BF126" s="23">
        <f>29.5/15</f>
        <v>1.9666666666666666</v>
      </c>
    </row>
    <row r="127" spans="1:147" x14ac:dyDescent="0.2">
      <c r="A127" s="36" t="s">
        <v>249</v>
      </c>
      <c r="B127" s="8" t="s">
        <v>250</v>
      </c>
      <c r="C127" s="2">
        <v>3</v>
      </c>
      <c r="D127" s="2">
        <v>1</v>
      </c>
      <c r="E127" s="3">
        <f>SUM(C127:D127)</f>
        <v>4</v>
      </c>
      <c r="F127" s="6">
        <v>3.6</v>
      </c>
      <c r="G127" s="10"/>
      <c r="H127" s="10"/>
      <c r="I127" s="3">
        <f>SUM(G127:H127)</f>
        <v>0</v>
      </c>
      <c r="J127" s="23"/>
      <c r="K127" s="2">
        <v>2</v>
      </c>
      <c r="L127" s="2">
        <v>0</v>
      </c>
      <c r="M127" s="3">
        <f>SUM(K127:L127)</f>
        <v>2</v>
      </c>
      <c r="N127" s="6">
        <f>31/15</f>
        <v>2.0666666666666669</v>
      </c>
      <c r="O127" s="10">
        <v>5</v>
      </c>
      <c r="P127" s="10">
        <v>1</v>
      </c>
      <c r="Q127" s="3">
        <f>SUM(O127:P127)</f>
        <v>6</v>
      </c>
      <c r="R127" s="23">
        <v>5.6</v>
      </c>
      <c r="S127" s="2">
        <v>2</v>
      </c>
      <c r="T127" s="2">
        <v>0</v>
      </c>
      <c r="U127" s="3">
        <f>SUM(S127:T127)</f>
        <v>2</v>
      </c>
      <c r="V127" s="6">
        <f>27/15</f>
        <v>1.8</v>
      </c>
      <c r="W127" s="10">
        <v>2</v>
      </c>
      <c r="X127" s="10">
        <v>0</v>
      </c>
      <c r="Y127" s="3">
        <f>SUM(W127:X127)</f>
        <v>2</v>
      </c>
      <c r="Z127" s="23">
        <f>32/15</f>
        <v>2.1333333333333333</v>
      </c>
      <c r="AA127" s="2">
        <v>4</v>
      </c>
      <c r="AB127" s="2">
        <v>0</v>
      </c>
      <c r="AC127" s="3">
        <f>SUM(AA127:AB127)</f>
        <v>4</v>
      </c>
      <c r="AD127" s="6">
        <f>58/15</f>
        <v>3.8666666666666667</v>
      </c>
      <c r="AE127" s="10">
        <v>2</v>
      </c>
      <c r="AF127" s="10">
        <v>0</v>
      </c>
      <c r="AG127" s="3">
        <f>SUM(AE127:AF127)</f>
        <v>2</v>
      </c>
      <c r="AH127" s="23">
        <f>29/15</f>
        <v>1.9333333333333333</v>
      </c>
      <c r="AI127" s="2">
        <v>2</v>
      </c>
      <c r="AJ127" s="2">
        <v>0</v>
      </c>
      <c r="AK127" s="3">
        <f>SUM(AI127:AJ127)</f>
        <v>2</v>
      </c>
      <c r="AL127" s="6">
        <f>30.5/15</f>
        <v>2.0333333333333332</v>
      </c>
      <c r="AM127" s="10">
        <v>1</v>
      </c>
      <c r="AN127" s="10">
        <v>1</v>
      </c>
      <c r="AO127" s="3">
        <f>SUM(AM127:AN127)</f>
        <v>2</v>
      </c>
      <c r="AP127" s="23">
        <f>19/15</f>
        <v>1.2666666666666666</v>
      </c>
      <c r="AQ127" s="2">
        <v>2</v>
      </c>
      <c r="AR127" s="2">
        <v>0</v>
      </c>
      <c r="AS127" s="3">
        <f>SUM(AQ127:AR127)</f>
        <v>2</v>
      </c>
      <c r="AT127" s="6">
        <f>27/15</f>
        <v>1.8</v>
      </c>
      <c r="AU127" s="10">
        <v>2</v>
      </c>
      <c r="AV127" s="10">
        <v>0</v>
      </c>
      <c r="AW127" s="3">
        <f>SUM(AU127:AV127)</f>
        <v>2</v>
      </c>
      <c r="AX127" s="23">
        <f>26/15</f>
        <v>1.7333333333333334</v>
      </c>
      <c r="AY127" s="2">
        <v>3</v>
      </c>
      <c r="AZ127" s="2">
        <v>0</v>
      </c>
      <c r="BA127" s="3">
        <f>SUM(AY127:AZ127)</f>
        <v>3</v>
      </c>
      <c r="BB127" s="6">
        <f>44/15</f>
        <v>2.9333333333333331</v>
      </c>
      <c r="BC127" s="10">
        <v>4</v>
      </c>
      <c r="BD127" s="10">
        <v>0</v>
      </c>
      <c r="BE127" s="3">
        <f>SUM(BC127:BD127)</f>
        <v>4</v>
      </c>
      <c r="BF127" s="23">
        <f>62.5/15</f>
        <v>4.166666666666667</v>
      </c>
    </row>
    <row r="128" spans="1:147" x14ac:dyDescent="0.2">
      <c r="A128" s="36" t="s">
        <v>154</v>
      </c>
      <c r="B128" s="8" t="s">
        <v>187</v>
      </c>
      <c r="C128" s="2">
        <v>0</v>
      </c>
      <c r="D128" s="2">
        <v>0</v>
      </c>
      <c r="E128" s="3">
        <f t="shared" si="93"/>
        <v>0</v>
      </c>
      <c r="F128" s="6">
        <v>0</v>
      </c>
      <c r="G128" s="10"/>
      <c r="H128" s="10"/>
      <c r="I128" s="3">
        <f t="shared" si="94"/>
        <v>0</v>
      </c>
      <c r="J128" s="23"/>
      <c r="K128" s="2">
        <v>0</v>
      </c>
      <c r="L128" s="2">
        <v>0</v>
      </c>
      <c r="M128" s="3">
        <f t="shared" si="95"/>
        <v>0</v>
      </c>
      <c r="N128" s="6">
        <v>0</v>
      </c>
      <c r="O128" s="10">
        <v>0</v>
      </c>
      <c r="P128" s="10">
        <v>0</v>
      </c>
      <c r="Q128" s="3">
        <f t="shared" ref="Q128:Q134" si="98">SUM(O128:P128)</f>
        <v>0</v>
      </c>
      <c r="R128" s="23">
        <v>0</v>
      </c>
      <c r="S128" s="2">
        <v>0</v>
      </c>
      <c r="T128" s="2">
        <v>0</v>
      </c>
      <c r="U128" s="3">
        <f t="shared" si="81"/>
        <v>0</v>
      </c>
      <c r="V128" s="6">
        <v>0</v>
      </c>
      <c r="W128" s="10">
        <v>0</v>
      </c>
      <c r="X128" s="10">
        <v>0</v>
      </c>
      <c r="Y128" s="3">
        <f t="shared" si="82"/>
        <v>0</v>
      </c>
      <c r="Z128" s="23">
        <v>0</v>
      </c>
      <c r="AA128" s="2">
        <v>1</v>
      </c>
      <c r="AB128" s="2">
        <v>2</v>
      </c>
      <c r="AC128" s="3">
        <f t="shared" si="83"/>
        <v>3</v>
      </c>
      <c r="AD128" s="6">
        <f>37/15</f>
        <v>2.4666666666666668</v>
      </c>
      <c r="AE128" s="10">
        <v>1</v>
      </c>
      <c r="AF128" s="10">
        <v>1</v>
      </c>
      <c r="AG128" s="3">
        <f t="shared" si="84"/>
        <v>2</v>
      </c>
      <c r="AH128" s="23">
        <f>23/15</f>
        <v>1.5333333333333334</v>
      </c>
      <c r="AI128" s="2">
        <v>4</v>
      </c>
      <c r="AJ128" s="2">
        <v>0</v>
      </c>
      <c r="AK128" s="3">
        <f t="shared" si="85"/>
        <v>4</v>
      </c>
      <c r="AL128" s="6">
        <f>80/15</f>
        <v>5.333333333333333</v>
      </c>
      <c r="AM128" s="10">
        <v>4</v>
      </c>
      <c r="AN128" s="10">
        <v>1</v>
      </c>
      <c r="AO128" s="3">
        <f t="shared" si="86"/>
        <v>5</v>
      </c>
      <c r="AP128" s="23">
        <f>63/15</f>
        <v>4.2</v>
      </c>
      <c r="AQ128" s="2">
        <v>5</v>
      </c>
      <c r="AR128" s="2">
        <v>0</v>
      </c>
      <c r="AS128" s="3">
        <f t="shared" si="87"/>
        <v>5</v>
      </c>
      <c r="AT128" s="6">
        <f>92/15</f>
        <v>6.1333333333333337</v>
      </c>
      <c r="AU128" s="10">
        <v>4</v>
      </c>
      <c r="AV128" s="10">
        <v>0</v>
      </c>
      <c r="AW128" s="3">
        <f t="shared" si="88"/>
        <v>4</v>
      </c>
      <c r="AX128" s="23">
        <f>75/15</f>
        <v>5</v>
      </c>
      <c r="AY128" s="2">
        <v>3</v>
      </c>
      <c r="AZ128" s="2">
        <v>0</v>
      </c>
      <c r="BA128" s="3">
        <f t="shared" si="97"/>
        <v>3</v>
      </c>
      <c r="BB128" s="6">
        <f>54/15</f>
        <v>3.6</v>
      </c>
      <c r="BC128" s="10">
        <v>5</v>
      </c>
      <c r="BD128" s="10">
        <v>0</v>
      </c>
      <c r="BE128" s="3">
        <f t="shared" si="90"/>
        <v>5</v>
      </c>
      <c r="BF128" s="23">
        <f>84.5/15</f>
        <v>5.6333333333333337</v>
      </c>
    </row>
    <row r="129" spans="1:147" hidden="1" x14ac:dyDescent="0.2">
      <c r="A129" s="36" t="s">
        <v>155</v>
      </c>
      <c r="B129" s="8" t="s">
        <v>188</v>
      </c>
      <c r="C129" s="32"/>
      <c r="D129" s="32"/>
      <c r="E129" s="34"/>
      <c r="F129" s="31"/>
      <c r="G129" s="29"/>
      <c r="H129" s="29"/>
      <c r="I129" s="34"/>
      <c r="J129" s="33"/>
      <c r="K129" s="32"/>
      <c r="L129" s="32"/>
      <c r="M129" s="34"/>
      <c r="N129" s="31"/>
      <c r="O129" s="29"/>
      <c r="P129" s="29"/>
      <c r="Q129" s="34"/>
      <c r="R129" s="33"/>
      <c r="S129" s="32"/>
      <c r="T129" s="32"/>
      <c r="U129" s="34"/>
      <c r="V129" s="31"/>
      <c r="W129" s="29"/>
      <c r="X129" s="29"/>
      <c r="Y129" s="34"/>
      <c r="Z129" s="33"/>
      <c r="AA129" s="2">
        <v>0</v>
      </c>
      <c r="AB129" s="2">
        <v>0</v>
      </c>
      <c r="AC129" s="3">
        <f t="shared" si="83"/>
        <v>0</v>
      </c>
      <c r="AD129" s="6">
        <v>0</v>
      </c>
      <c r="AE129" s="10">
        <v>0</v>
      </c>
      <c r="AF129" s="10">
        <v>0</v>
      </c>
      <c r="AG129" s="3">
        <f t="shared" si="84"/>
        <v>0</v>
      </c>
      <c r="AH129" s="23">
        <v>0</v>
      </c>
      <c r="AI129" s="2">
        <v>0</v>
      </c>
      <c r="AJ129" s="2">
        <v>0</v>
      </c>
      <c r="AK129" s="3">
        <f t="shared" si="85"/>
        <v>0</v>
      </c>
      <c r="AL129" s="6">
        <v>0</v>
      </c>
      <c r="AM129" s="10">
        <v>0</v>
      </c>
      <c r="AN129" s="10">
        <v>0</v>
      </c>
      <c r="AO129" s="3">
        <f t="shared" si="86"/>
        <v>0</v>
      </c>
      <c r="AP129" s="23">
        <v>0</v>
      </c>
      <c r="AQ129" s="2">
        <v>0</v>
      </c>
      <c r="AR129" s="2">
        <v>1</v>
      </c>
      <c r="AS129" s="3">
        <f t="shared" si="87"/>
        <v>1</v>
      </c>
      <c r="AT129" s="6">
        <f>6/15</f>
        <v>0.4</v>
      </c>
      <c r="AU129" s="10">
        <v>0</v>
      </c>
      <c r="AV129" s="10">
        <v>1</v>
      </c>
      <c r="AW129" s="3">
        <f t="shared" si="88"/>
        <v>1</v>
      </c>
      <c r="AX129" s="23">
        <f>6.5/15</f>
        <v>0.43333333333333335</v>
      </c>
      <c r="AY129" s="2">
        <v>0</v>
      </c>
      <c r="AZ129" s="2">
        <v>0</v>
      </c>
      <c r="BA129" s="3">
        <f t="shared" si="97"/>
        <v>0</v>
      </c>
      <c r="BB129" s="6">
        <v>0</v>
      </c>
      <c r="BC129" s="10">
        <v>0</v>
      </c>
      <c r="BD129" s="10">
        <v>0</v>
      </c>
      <c r="BE129" s="3">
        <f t="shared" si="90"/>
        <v>0</v>
      </c>
      <c r="BF129" s="23">
        <v>0</v>
      </c>
    </row>
    <row r="130" spans="1:147" x14ac:dyDescent="0.2">
      <c r="A130" s="36" t="s">
        <v>156</v>
      </c>
      <c r="B130" s="8" t="s">
        <v>189</v>
      </c>
      <c r="C130" s="2">
        <v>27</v>
      </c>
      <c r="D130" s="2">
        <v>16</v>
      </c>
      <c r="E130" s="3">
        <f t="shared" ref="E130:E136" si="99">SUM(C130:D130)</f>
        <v>43</v>
      </c>
      <c r="F130" s="6">
        <v>34.299999999999997</v>
      </c>
      <c r="G130" s="10"/>
      <c r="H130" s="10"/>
      <c r="I130" s="3">
        <f t="shared" ref="I130:I136" si="100">SUM(G130:H130)</f>
        <v>0</v>
      </c>
      <c r="J130" s="23"/>
      <c r="K130" s="2">
        <v>33</v>
      </c>
      <c r="L130" s="2">
        <v>14</v>
      </c>
      <c r="M130" s="3">
        <f t="shared" ref="M130:M136" si="101">SUM(K130:L130)</f>
        <v>47</v>
      </c>
      <c r="N130" s="6">
        <f>595.5/15</f>
        <v>39.700000000000003</v>
      </c>
      <c r="O130" s="10">
        <v>32</v>
      </c>
      <c r="P130" s="10">
        <v>18</v>
      </c>
      <c r="Q130" s="3">
        <f t="shared" ref="Q130:Q136" si="102">SUM(O130:P130)</f>
        <v>50</v>
      </c>
      <c r="R130" s="23">
        <v>39.6</v>
      </c>
      <c r="S130" s="2">
        <v>48</v>
      </c>
      <c r="T130" s="2">
        <v>13</v>
      </c>
      <c r="U130" s="3">
        <f t="shared" ref="U130:U135" si="103">SUM(S130:T130)</f>
        <v>61</v>
      </c>
      <c r="V130" s="6">
        <f>818.5/15</f>
        <v>54.56666666666667</v>
      </c>
      <c r="W130" s="10">
        <v>45</v>
      </c>
      <c r="X130" s="10">
        <v>12</v>
      </c>
      <c r="Y130" s="3">
        <f t="shared" ref="Y130:Y135" si="104">SUM(W130:X130)</f>
        <v>57</v>
      </c>
      <c r="Z130" s="23">
        <f>740/15</f>
        <v>49.333333333333336</v>
      </c>
      <c r="AA130" s="2">
        <v>50</v>
      </c>
      <c r="AB130" s="2">
        <v>22</v>
      </c>
      <c r="AC130" s="3">
        <f t="shared" si="83"/>
        <v>72</v>
      </c>
      <c r="AD130" s="6">
        <f>886/15</f>
        <v>59.06666666666667</v>
      </c>
      <c r="AE130" s="10">
        <v>44</v>
      </c>
      <c r="AF130" s="10">
        <v>18</v>
      </c>
      <c r="AG130" s="3">
        <f t="shared" si="84"/>
        <v>62</v>
      </c>
      <c r="AH130" s="23">
        <f>795/15</f>
        <v>53</v>
      </c>
      <c r="AI130" s="2">
        <v>51</v>
      </c>
      <c r="AJ130" s="2">
        <v>15</v>
      </c>
      <c r="AK130" s="3">
        <f t="shared" si="85"/>
        <v>66</v>
      </c>
      <c r="AL130" s="6">
        <f>871.5/15</f>
        <v>58.1</v>
      </c>
      <c r="AM130" s="10">
        <v>43</v>
      </c>
      <c r="AN130" s="10">
        <v>17</v>
      </c>
      <c r="AO130" s="3">
        <f t="shared" si="86"/>
        <v>60</v>
      </c>
      <c r="AP130" s="23">
        <f>782/15</f>
        <v>52.133333333333333</v>
      </c>
      <c r="AQ130" s="2">
        <v>37</v>
      </c>
      <c r="AR130" s="2">
        <v>11</v>
      </c>
      <c r="AS130" s="3">
        <f t="shared" si="87"/>
        <v>48</v>
      </c>
      <c r="AT130" s="6">
        <f>675/15</f>
        <v>45</v>
      </c>
      <c r="AU130" s="10">
        <v>40</v>
      </c>
      <c r="AV130" s="10">
        <v>15</v>
      </c>
      <c r="AW130" s="3">
        <f t="shared" si="88"/>
        <v>55</v>
      </c>
      <c r="AX130" s="23">
        <f>757.5/15</f>
        <v>50.5</v>
      </c>
      <c r="AY130" s="2">
        <v>37</v>
      </c>
      <c r="AZ130" s="2">
        <v>12</v>
      </c>
      <c r="BA130" s="3">
        <f t="shared" si="97"/>
        <v>49</v>
      </c>
      <c r="BB130" s="6">
        <f>645/15</f>
        <v>43</v>
      </c>
      <c r="BC130" s="10">
        <v>40</v>
      </c>
      <c r="BD130" s="10">
        <v>14</v>
      </c>
      <c r="BE130" s="3">
        <f t="shared" si="90"/>
        <v>54</v>
      </c>
      <c r="BF130" s="23">
        <f>749.5/15</f>
        <v>49.966666666666669</v>
      </c>
    </row>
    <row r="131" spans="1:147" x14ac:dyDescent="0.2">
      <c r="A131" s="36" t="s">
        <v>230</v>
      </c>
      <c r="B131" s="9" t="s">
        <v>231</v>
      </c>
      <c r="C131" s="2">
        <v>15</v>
      </c>
      <c r="D131" s="2">
        <v>3</v>
      </c>
      <c r="E131" s="3">
        <f t="shared" si="99"/>
        <v>18</v>
      </c>
      <c r="F131" s="6">
        <v>18.100000000000001</v>
      </c>
      <c r="G131" s="10"/>
      <c r="H131" s="10"/>
      <c r="I131" s="3">
        <f t="shared" si="100"/>
        <v>0</v>
      </c>
      <c r="J131" s="23"/>
      <c r="K131" s="2">
        <v>14</v>
      </c>
      <c r="L131" s="2">
        <v>3</v>
      </c>
      <c r="M131" s="3">
        <f t="shared" si="101"/>
        <v>17</v>
      </c>
      <c r="N131" s="6">
        <f>235/15</f>
        <v>15.666666666666666</v>
      </c>
      <c r="O131" s="10">
        <v>6</v>
      </c>
      <c r="P131" s="10">
        <v>3</v>
      </c>
      <c r="Q131" s="3">
        <f t="shared" si="102"/>
        <v>9</v>
      </c>
      <c r="R131" s="23">
        <v>7.4</v>
      </c>
      <c r="S131" s="2">
        <v>1</v>
      </c>
      <c r="T131" s="2">
        <v>1</v>
      </c>
      <c r="U131" s="3">
        <f t="shared" si="103"/>
        <v>2</v>
      </c>
      <c r="V131" s="6">
        <f>24/15</f>
        <v>1.6</v>
      </c>
      <c r="W131" s="10">
        <v>8</v>
      </c>
      <c r="X131" s="10">
        <v>3</v>
      </c>
      <c r="Y131" s="3">
        <f t="shared" si="104"/>
        <v>11</v>
      </c>
      <c r="Z131" s="23">
        <f>150/15</f>
        <v>10</v>
      </c>
      <c r="AA131" s="32"/>
      <c r="AB131" s="32"/>
      <c r="AC131" s="34"/>
      <c r="AD131" s="31"/>
      <c r="AE131" s="29"/>
      <c r="AF131" s="29"/>
      <c r="AG131" s="34"/>
      <c r="AH131" s="33"/>
      <c r="AI131" s="32"/>
      <c r="AJ131" s="32"/>
      <c r="AK131" s="34"/>
      <c r="AL131" s="31"/>
      <c r="AM131" s="29"/>
      <c r="AN131" s="29"/>
      <c r="AO131" s="34"/>
      <c r="AP131" s="33"/>
      <c r="AQ131" s="32"/>
      <c r="AR131" s="32"/>
      <c r="AS131" s="34"/>
      <c r="AT131" s="31"/>
      <c r="AU131" s="29"/>
      <c r="AV131" s="29"/>
      <c r="AW131" s="34"/>
      <c r="AX131" s="33"/>
      <c r="AY131" s="32"/>
      <c r="AZ131" s="32"/>
      <c r="BA131" s="34"/>
      <c r="BB131" s="31"/>
      <c r="BC131" s="29"/>
      <c r="BD131" s="29"/>
      <c r="BE131" s="34"/>
      <c r="BF131" s="33"/>
    </row>
    <row r="132" spans="1:147" x14ac:dyDescent="0.2">
      <c r="A132" s="36" t="s">
        <v>158</v>
      </c>
      <c r="B132" s="8" t="s">
        <v>191</v>
      </c>
      <c r="C132" s="2">
        <v>0</v>
      </c>
      <c r="D132" s="2">
        <v>0</v>
      </c>
      <c r="E132" s="3">
        <f t="shared" si="99"/>
        <v>0</v>
      </c>
      <c r="F132" s="6">
        <v>0</v>
      </c>
      <c r="G132" s="10"/>
      <c r="H132" s="10"/>
      <c r="I132" s="3">
        <f t="shared" si="100"/>
        <v>0</v>
      </c>
      <c r="J132" s="23"/>
      <c r="K132" s="2">
        <v>2</v>
      </c>
      <c r="L132" s="2">
        <v>0</v>
      </c>
      <c r="M132" s="3">
        <f t="shared" si="101"/>
        <v>2</v>
      </c>
      <c r="N132" s="6">
        <f>30/15</f>
        <v>2</v>
      </c>
      <c r="O132" s="10">
        <v>0</v>
      </c>
      <c r="P132" s="10">
        <v>0</v>
      </c>
      <c r="Q132" s="3">
        <f t="shared" si="102"/>
        <v>0</v>
      </c>
      <c r="R132" s="23">
        <v>0</v>
      </c>
      <c r="S132" s="2">
        <v>2</v>
      </c>
      <c r="T132" s="2">
        <v>0</v>
      </c>
      <c r="U132" s="3">
        <f t="shared" si="103"/>
        <v>2</v>
      </c>
      <c r="V132" s="6">
        <f>28/15</f>
        <v>1.8666666666666667</v>
      </c>
      <c r="W132" s="10">
        <v>0</v>
      </c>
      <c r="X132" s="10">
        <v>1</v>
      </c>
      <c r="Y132" s="3">
        <f t="shared" si="104"/>
        <v>1</v>
      </c>
      <c r="Z132" s="23">
        <f>4/15</f>
        <v>0.26666666666666666</v>
      </c>
      <c r="AA132" s="2">
        <v>2</v>
      </c>
      <c r="AB132" s="2">
        <v>3</v>
      </c>
      <c r="AC132" s="3">
        <f>SUM(AA132:AB132)</f>
        <v>5</v>
      </c>
      <c r="AD132" s="6">
        <f>62.5/15</f>
        <v>4.166666666666667</v>
      </c>
      <c r="AE132" s="10">
        <v>2</v>
      </c>
      <c r="AF132" s="10">
        <v>3</v>
      </c>
      <c r="AG132" s="3">
        <f>SUM(AE132:AF132)</f>
        <v>5</v>
      </c>
      <c r="AH132" s="23">
        <f>61/15</f>
        <v>4.0666666666666664</v>
      </c>
      <c r="AI132" s="2">
        <v>3</v>
      </c>
      <c r="AJ132" s="2">
        <v>2</v>
      </c>
      <c r="AK132" s="3">
        <f>SUM(AI132:AJ132)</f>
        <v>5</v>
      </c>
      <c r="AL132" s="6">
        <f>53/15</f>
        <v>3.5333333333333332</v>
      </c>
      <c r="AM132" s="10">
        <v>3</v>
      </c>
      <c r="AN132" s="10">
        <v>1</v>
      </c>
      <c r="AO132" s="3">
        <f>SUM(AM132:AN132)</f>
        <v>4</v>
      </c>
      <c r="AP132" s="23">
        <f>53/15</f>
        <v>3.5333333333333332</v>
      </c>
      <c r="AQ132" s="2">
        <v>0</v>
      </c>
      <c r="AR132" s="2">
        <v>0</v>
      </c>
      <c r="AS132" s="3">
        <f>SUM(AQ132:AR132)</f>
        <v>0</v>
      </c>
      <c r="AT132" s="6">
        <v>0</v>
      </c>
      <c r="AU132" s="10">
        <v>0</v>
      </c>
      <c r="AV132" s="10">
        <v>0</v>
      </c>
      <c r="AW132" s="3">
        <f>SUM(AU132:AV132)</f>
        <v>0</v>
      </c>
      <c r="AX132" s="23">
        <v>0</v>
      </c>
      <c r="AY132" s="2">
        <v>0</v>
      </c>
      <c r="AZ132" s="2">
        <v>0</v>
      </c>
      <c r="BA132" s="3">
        <f>SUM(AY132:AZ132)</f>
        <v>0</v>
      </c>
      <c r="BB132" s="6">
        <v>0</v>
      </c>
      <c r="BC132" s="10">
        <v>0</v>
      </c>
      <c r="BD132" s="10">
        <v>0</v>
      </c>
      <c r="BE132" s="3">
        <f>SUM(BC132:BD132)</f>
        <v>0</v>
      </c>
      <c r="BF132" s="23">
        <f>0/15</f>
        <v>0</v>
      </c>
    </row>
    <row r="133" spans="1:147" x14ac:dyDescent="0.2">
      <c r="A133" s="36" t="s">
        <v>159</v>
      </c>
      <c r="B133" s="9" t="s">
        <v>192</v>
      </c>
      <c r="C133" s="2">
        <v>6</v>
      </c>
      <c r="D133" s="2">
        <v>7</v>
      </c>
      <c r="E133" s="3">
        <f t="shared" si="99"/>
        <v>13</v>
      </c>
      <c r="F133" s="6">
        <v>8</v>
      </c>
      <c r="G133" s="10"/>
      <c r="H133" s="10"/>
      <c r="I133" s="3">
        <f t="shared" si="100"/>
        <v>0</v>
      </c>
      <c r="J133" s="23"/>
      <c r="K133" s="2">
        <v>3</v>
      </c>
      <c r="L133" s="2">
        <v>11</v>
      </c>
      <c r="M133" s="3">
        <f t="shared" si="101"/>
        <v>14</v>
      </c>
      <c r="N133" s="6">
        <f>108/15</f>
        <v>7.2</v>
      </c>
      <c r="O133" s="10">
        <v>4</v>
      </c>
      <c r="P133" s="10">
        <v>9</v>
      </c>
      <c r="Q133" s="3">
        <f t="shared" si="102"/>
        <v>13</v>
      </c>
      <c r="R133" s="23">
        <v>6.1</v>
      </c>
      <c r="S133" s="2">
        <v>3</v>
      </c>
      <c r="T133" s="2">
        <v>10</v>
      </c>
      <c r="U133" s="3">
        <f t="shared" si="103"/>
        <v>13</v>
      </c>
      <c r="V133" s="6">
        <f>94/15</f>
        <v>6.2666666666666666</v>
      </c>
      <c r="W133" s="10">
        <v>2</v>
      </c>
      <c r="X133" s="10">
        <v>12</v>
      </c>
      <c r="Y133" s="3">
        <f t="shared" si="104"/>
        <v>14</v>
      </c>
      <c r="Z133" s="23">
        <f>92/15</f>
        <v>6.1333333333333337</v>
      </c>
      <c r="AA133" s="2">
        <v>5</v>
      </c>
      <c r="AB133" s="2">
        <v>12</v>
      </c>
      <c r="AC133" s="3">
        <f>SUM(AA133:AB133)</f>
        <v>17</v>
      </c>
      <c r="AD133" s="6">
        <f>121/15</f>
        <v>8.0666666666666664</v>
      </c>
      <c r="AE133" s="10">
        <v>2</v>
      </c>
      <c r="AF133" s="10">
        <v>11</v>
      </c>
      <c r="AG133" s="3">
        <f>SUM(AE133:AF133)</f>
        <v>13</v>
      </c>
      <c r="AH133" s="23">
        <f>95/15</f>
        <v>6.333333333333333</v>
      </c>
      <c r="AI133" s="2">
        <v>4</v>
      </c>
      <c r="AJ133" s="2">
        <v>10</v>
      </c>
      <c r="AK133" s="3">
        <f>SUM(AI133:AJ133)</f>
        <v>14</v>
      </c>
      <c r="AL133" s="6">
        <f>98/15</f>
        <v>6.5333333333333332</v>
      </c>
      <c r="AM133" s="10">
        <v>4</v>
      </c>
      <c r="AN133" s="10">
        <v>11</v>
      </c>
      <c r="AO133" s="3">
        <f>SUM(AM133:AN133)</f>
        <v>15</v>
      </c>
      <c r="AP133" s="23">
        <f>115/15</f>
        <v>7.666666666666667</v>
      </c>
      <c r="AQ133" s="2">
        <v>5</v>
      </c>
      <c r="AR133" s="2">
        <v>8</v>
      </c>
      <c r="AS133" s="3">
        <f>SUM(AQ133:AR133)</f>
        <v>13</v>
      </c>
      <c r="AT133" s="6">
        <f>112/15</f>
        <v>7.4666666666666668</v>
      </c>
      <c r="AU133" s="10">
        <v>5</v>
      </c>
      <c r="AV133" s="10">
        <v>8</v>
      </c>
      <c r="AW133" s="3">
        <f>SUM(AU133:AV133)</f>
        <v>13</v>
      </c>
      <c r="AX133" s="23">
        <f>96.5/15</f>
        <v>6.4333333333333336</v>
      </c>
      <c r="AY133" s="2">
        <v>1</v>
      </c>
      <c r="AZ133" s="2">
        <v>3</v>
      </c>
      <c r="BA133" s="3">
        <f>SUM(AY133:AZ133)</f>
        <v>4</v>
      </c>
      <c r="BB133" s="6">
        <f>27/15</f>
        <v>1.8</v>
      </c>
      <c r="BC133" s="10">
        <v>2</v>
      </c>
      <c r="BD133" s="10">
        <v>7</v>
      </c>
      <c r="BE133" s="3">
        <f>SUM(BC133:BD133)</f>
        <v>9</v>
      </c>
      <c r="BF133" s="23">
        <f>58/15</f>
        <v>3.8666666666666667</v>
      </c>
    </row>
    <row r="134" spans="1:147" x14ac:dyDescent="0.2">
      <c r="A134" s="36" t="s">
        <v>160</v>
      </c>
      <c r="B134" s="9" t="s">
        <v>193</v>
      </c>
      <c r="C134" s="2">
        <v>1</v>
      </c>
      <c r="D134" s="2">
        <v>4</v>
      </c>
      <c r="E134" s="3">
        <f t="shared" si="99"/>
        <v>5</v>
      </c>
      <c r="F134" s="6">
        <v>2.8</v>
      </c>
      <c r="G134" s="10"/>
      <c r="H134" s="10"/>
      <c r="I134" s="3">
        <f t="shared" si="100"/>
        <v>0</v>
      </c>
      <c r="J134" s="23"/>
      <c r="K134" s="2">
        <v>0</v>
      </c>
      <c r="L134" s="2">
        <v>3</v>
      </c>
      <c r="M134" s="3">
        <f t="shared" si="101"/>
        <v>3</v>
      </c>
      <c r="N134" s="6">
        <f>9/15</f>
        <v>0.6</v>
      </c>
      <c r="O134" s="10">
        <v>0</v>
      </c>
      <c r="P134" s="10">
        <v>3</v>
      </c>
      <c r="Q134" s="3">
        <f t="shared" si="102"/>
        <v>3</v>
      </c>
      <c r="R134" s="23">
        <v>0.8</v>
      </c>
      <c r="S134" s="2">
        <v>1</v>
      </c>
      <c r="T134" s="2">
        <v>8</v>
      </c>
      <c r="U134" s="3">
        <f t="shared" si="103"/>
        <v>9</v>
      </c>
      <c r="V134" s="6">
        <f>51.5/15</f>
        <v>3.4333333333333331</v>
      </c>
      <c r="W134" s="10">
        <v>1</v>
      </c>
      <c r="X134" s="10">
        <v>6</v>
      </c>
      <c r="Y134" s="3">
        <f t="shared" si="104"/>
        <v>7</v>
      </c>
      <c r="Z134" s="23">
        <f>52/15</f>
        <v>3.4666666666666668</v>
      </c>
      <c r="AA134" s="2">
        <v>0</v>
      </c>
      <c r="AB134" s="2">
        <v>8</v>
      </c>
      <c r="AC134" s="3">
        <f>SUM(AA134:AB134)</f>
        <v>8</v>
      </c>
      <c r="AD134" s="6">
        <f>37/15</f>
        <v>2.4666666666666668</v>
      </c>
      <c r="AE134" s="10">
        <v>0</v>
      </c>
      <c r="AF134" s="10">
        <v>8</v>
      </c>
      <c r="AG134" s="3">
        <f>SUM(AE134:AF134)</f>
        <v>8</v>
      </c>
      <c r="AH134" s="23">
        <f>45/15</f>
        <v>3</v>
      </c>
      <c r="AI134" s="2">
        <v>1</v>
      </c>
      <c r="AJ134" s="2">
        <v>8</v>
      </c>
      <c r="AK134" s="3">
        <f>SUM(AI134:AJ134)</f>
        <v>9</v>
      </c>
      <c r="AL134" s="6">
        <f>48/15</f>
        <v>3.2</v>
      </c>
      <c r="AM134" s="10">
        <v>0</v>
      </c>
      <c r="AN134" s="10">
        <v>11</v>
      </c>
      <c r="AO134" s="3">
        <f>SUM(AM134:AN134)</f>
        <v>11</v>
      </c>
      <c r="AP134" s="23">
        <f>54/15</f>
        <v>3.6</v>
      </c>
      <c r="AQ134" s="2">
        <v>0</v>
      </c>
      <c r="AR134" s="2">
        <v>3</v>
      </c>
      <c r="AS134" s="3">
        <f>SUM(AQ134:AR134)</f>
        <v>3</v>
      </c>
      <c r="AT134" s="6">
        <f>12/15</f>
        <v>0.8</v>
      </c>
      <c r="AU134" s="10">
        <v>0</v>
      </c>
      <c r="AV134" s="10">
        <v>6</v>
      </c>
      <c r="AW134" s="3">
        <f>SUM(AU134:AV134)</f>
        <v>6</v>
      </c>
      <c r="AX134" s="23">
        <f>24/15</f>
        <v>1.6</v>
      </c>
      <c r="AY134" s="2">
        <v>0</v>
      </c>
      <c r="AZ134" s="2">
        <v>10</v>
      </c>
      <c r="BA134" s="3">
        <f>SUM(AY134:AZ134)</f>
        <v>10</v>
      </c>
      <c r="BB134" s="6">
        <f>40/15</f>
        <v>2.6666666666666665</v>
      </c>
      <c r="BC134" s="10">
        <v>0</v>
      </c>
      <c r="BD134" s="10">
        <v>12</v>
      </c>
      <c r="BE134" s="3">
        <f>SUM(BC134:BD134)</f>
        <v>12</v>
      </c>
      <c r="BF134" s="23">
        <f>48/15</f>
        <v>3.2</v>
      </c>
    </row>
    <row r="135" spans="1:147" x14ac:dyDescent="0.2">
      <c r="A135" s="36" t="s">
        <v>161</v>
      </c>
      <c r="B135" s="8" t="s">
        <v>194</v>
      </c>
      <c r="C135" s="2">
        <v>0</v>
      </c>
      <c r="D135" s="2">
        <v>0</v>
      </c>
      <c r="E135" s="3">
        <f t="shared" si="99"/>
        <v>0</v>
      </c>
      <c r="F135" s="6">
        <v>0</v>
      </c>
      <c r="G135" s="10"/>
      <c r="H135" s="10"/>
      <c r="I135" s="3">
        <f t="shared" si="100"/>
        <v>0</v>
      </c>
      <c r="J135" s="23"/>
      <c r="K135" s="2">
        <v>3</v>
      </c>
      <c r="L135" s="2">
        <v>1</v>
      </c>
      <c r="M135" s="3">
        <f t="shared" si="101"/>
        <v>4</v>
      </c>
      <c r="N135" s="6">
        <f>47/15</f>
        <v>3.1333333333333333</v>
      </c>
      <c r="O135" s="10">
        <v>2</v>
      </c>
      <c r="P135" s="10">
        <v>0</v>
      </c>
      <c r="Q135" s="3">
        <f t="shared" si="102"/>
        <v>2</v>
      </c>
      <c r="R135" s="23">
        <v>2.1</v>
      </c>
      <c r="S135" s="2">
        <v>8</v>
      </c>
      <c r="T135" s="2">
        <v>0</v>
      </c>
      <c r="U135" s="3">
        <f t="shared" si="103"/>
        <v>8</v>
      </c>
      <c r="V135" s="6">
        <f>119/15</f>
        <v>7.9333333333333336</v>
      </c>
      <c r="W135" s="10">
        <v>6</v>
      </c>
      <c r="X135" s="10">
        <v>1</v>
      </c>
      <c r="Y135" s="3">
        <f t="shared" si="104"/>
        <v>7</v>
      </c>
      <c r="Z135" s="23">
        <f>102/15</f>
        <v>6.8</v>
      </c>
      <c r="AA135" s="2">
        <v>3</v>
      </c>
      <c r="AB135" s="2">
        <v>1</v>
      </c>
      <c r="AC135" s="3">
        <f>SUM(AA135:AB135)</f>
        <v>4</v>
      </c>
      <c r="AD135" s="6">
        <f>51/15</f>
        <v>3.4</v>
      </c>
      <c r="AE135" s="10">
        <v>3</v>
      </c>
      <c r="AF135" s="10">
        <v>1</v>
      </c>
      <c r="AG135" s="3">
        <f>SUM(AE135:AF135)</f>
        <v>4</v>
      </c>
      <c r="AH135" s="23">
        <f>50/15</f>
        <v>3.3333333333333335</v>
      </c>
      <c r="AI135" s="2">
        <v>1</v>
      </c>
      <c r="AJ135" s="2">
        <v>0</v>
      </c>
      <c r="AK135" s="3">
        <f>SUM(AI135:AJ135)</f>
        <v>1</v>
      </c>
      <c r="AL135" s="6">
        <f>16.5/15</f>
        <v>1.1000000000000001</v>
      </c>
      <c r="AM135" s="10">
        <v>1</v>
      </c>
      <c r="AN135" s="10">
        <v>0</v>
      </c>
      <c r="AO135" s="3">
        <f>SUM(AM135:AN135)</f>
        <v>1</v>
      </c>
      <c r="AP135" s="23">
        <f>20/15</f>
        <v>1.3333333333333333</v>
      </c>
      <c r="AQ135" s="2">
        <v>0</v>
      </c>
      <c r="AR135" s="2">
        <v>0</v>
      </c>
      <c r="AS135" s="3">
        <f>SUM(AQ135:AR135)</f>
        <v>0</v>
      </c>
      <c r="AT135" s="6">
        <f>0/15</f>
        <v>0</v>
      </c>
      <c r="AU135" s="10">
        <v>0</v>
      </c>
      <c r="AV135" s="10">
        <v>0</v>
      </c>
      <c r="AW135" s="3">
        <f>SUM(AU135:AV135)</f>
        <v>0</v>
      </c>
      <c r="AX135" s="23">
        <v>0</v>
      </c>
      <c r="AY135" s="2">
        <v>0</v>
      </c>
      <c r="AZ135" s="2">
        <v>0</v>
      </c>
      <c r="BA135" s="3">
        <f>SUM(AY135:AZ135)</f>
        <v>0</v>
      </c>
      <c r="BB135" s="6">
        <f>0/15</f>
        <v>0</v>
      </c>
      <c r="BC135" s="10">
        <v>0</v>
      </c>
      <c r="BD135" s="10">
        <v>0</v>
      </c>
      <c r="BE135" s="3">
        <f>SUM(BC135:BD135)</f>
        <v>0</v>
      </c>
      <c r="BF135" s="23">
        <f>0/15</f>
        <v>0</v>
      </c>
    </row>
    <row r="136" spans="1:147" x14ac:dyDescent="0.2">
      <c r="A136" s="36" t="s">
        <v>248</v>
      </c>
      <c r="B136" s="8" t="s">
        <v>265</v>
      </c>
      <c r="C136" s="20">
        <v>12</v>
      </c>
      <c r="D136" s="20">
        <v>0</v>
      </c>
      <c r="E136" s="15">
        <f t="shared" si="99"/>
        <v>12</v>
      </c>
      <c r="F136" s="6">
        <v>12.7</v>
      </c>
      <c r="G136" s="20"/>
      <c r="H136" s="20"/>
      <c r="I136" s="3">
        <f t="shared" si="100"/>
        <v>0</v>
      </c>
      <c r="J136" s="23"/>
      <c r="K136" s="20">
        <v>5</v>
      </c>
      <c r="L136" s="20">
        <v>0</v>
      </c>
      <c r="M136" s="15">
        <f t="shared" si="101"/>
        <v>5</v>
      </c>
      <c r="N136" s="6">
        <f>64/15</f>
        <v>4.2666666666666666</v>
      </c>
      <c r="O136" s="20">
        <v>2</v>
      </c>
      <c r="P136" s="20">
        <v>2</v>
      </c>
      <c r="Q136" s="3">
        <f t="shared" si="102"/>
        <v>4</v>
      </c>
      <c r="R136" s="23">
        <v>2.9</v>
      </c>
      <c r="S136" s="29"/>
      <c r="T136" s="29"/>
      <c r="U136" s="30"/>
      <c r="V136" s="31"/>
      <c r="W136" s="29"/>
      <c r="X136" s="29"/>
      <c r="Y136" s="30"/>
      <c r="Z136" s="33"/>
      <c r="AA136" s="29"/>
      <c r="AB136" s="29"/>
      <c r="AC136" s="30"/>
      <c r="AD136" s="31"/>
      <c r="AE136" s="29"/>
      <c r="AF136" s="29"/>
      <c r="AG136" s="30"/>
      <c r="AH136" s="33"/>
      <c r="AI136" s="29"/>
      <c r="AJ136" s="29"/>
      <c r="AK136" s="30"/>
      <c r="AL136" s="31"/>
      <c r="AM136" s="29"/>
      <c r="AN136" s="29"/>
      <c r="AO136" s="30"/>
      <c r="AP136" s="33"/>
      <c r="AQ136" s="29"/>
      <c r="AR136" s="29"/>
      <c r="AS136" s="30"/>
      <c r="AT136" s="31"/>
      <c r="AU136" s="29"/>
      <c r="AV136" s="29"/>
      <c r="AW136" s="30"/>
      <c r="AX136" s="33"/>
      <c r="AY136" s="29"/>
      <c r="AZ136" s="29"/>
      <c r="BA136" s="30"/>
      <c r="BB136" s="31"/>
      <c r="BC136" s="29"/>
      <c r="BD136" s="29"/>
      <c r="BE136" s="30"/>
      <c r="BF136" s="33"/>
    </row>
    <row r="137" spans="1:147" hidden="1" x14ac:dyDescent="0.2">
      <c r="A137" s="36" t="s">
        <v>258</v>
      </c>
      <c r="B137" s="9" t="s">
        <v>259</v>
      </c>
      <c r="C137" s="20"/>
      <c r="D137" s="20"/>
      <c r="E137" s="15"/>
      <c r="G137" s="20"/>
      <c r="H137" s="20"/>
      <c r="I137" s="26"/>
      <c r="J137" s="23"/>
      <c r="K137" s="20"/>
      <c r="L137" s="20"/>
      <c r="M137" s="15"/>
      <c r="O137" s="20"/>
      <c r="P137" s="20"/>
      <c r="Q137" s="26"/>
      <c r="R137" s="23"/>
      <c r="S137" s="29"/>
      <c r="T137" s="29"/>
      <c r="U137" s="30"/>
      <c r="V137" s="31"/>
      <c r="W137" s="29"/>
      <c r="X137" s="29"/>
      <c r="Y137" s="30"/>
      <c r="Z137" s="33"/>
      <c r="AA137" s="29"/>
      <c r="AB137" s="29"/>
      <c r="AC137" s="30"/>
      <c r="AD137" s="31"/>
      <c r="AE137" s="29"/>
      <c r="AF137" s="29"/>
      <c r="AG137" s="30"/>
      <c r="AH137" s="33"/>
      <c r="AI137" s="29"/>
      <c r="AJ137" s="29"/>
      <c r="AK137" s="30"/>
      <c r="AL137" s="31"/>
      <c r="AM137" s="29"/>
      <c r="AN137" s="29"/>
      <c r="AO137" s="30"/>
      <c r="AP137" s="33"/>
      <c r="AQ137" s="29">
        <v>1</v>
      </c>
      <c r="AR137" s="29">
        <v>0</v>
      </c>
      <c r="AS137" s="3">
        <f t="shared" ref="AS137:AS142" si="105">SUM(AQ137:AR137)</f>
        <v>1</v>
      </c>
      <c r="AT137" s="31">
        <f>15/15</f>
        <v>1</v>
      </c>
      <c r="AU137" s="29"/>
      <c r="AV137" s="29"/>
      <c r="AW137" s="30"/>
      <c r="AX137" s="33"/>
      <c r="AY137" s="29"/>
      <c r="AZ137" s="29"/>
      <c r="BA137" s="30"/>
      <c r="BB137" s="31"/>
      <c r="BC137" s="29"/>
      <c r="BD137" s="29"/>
      <c r="BE137" s="30"/>
      <c r="BF137" s="33"/>
    </row>
    <row r="138" spans="1:147" hidden="1" x14ac:dyDescent="0.2">
      <c r="A138" s="36" t="s">
        <v>162</v>
      </c>
      <c r="B138" s="8" t="s">
        <v>195</v>
      </c>
      <c r="C138" s="32"/>
      <c r="D138" s="32"/>
      <c r="E138" s="34"/>
      <c r="F138" s="31"/>
      <c r="G138" s="29"/>
      <c r="H138" s="29"/>
      <c r="I138" s="34"/>
      <c r="J138" s="33"/>
      <c r="K138" s="32"/>
      <c r="L138" s="32"/>
      <c r="M138" s="34"/>
      <c r="N138" s="31"/>
      <c r="O138" s="29"/>
      <c r="P138" s="29"/>
      <c r="Q138" s="34"/>
      <c r="R138" s="33"/>
      <c r="S138" s="2">
        <v>1</v>
      </c>
      <c r="T138" s="2">
        <v>1</v>
      </c>
      <c r="U138" s="3">
        <f>SUM(S138:T138)</f>
        <v>2</v>
      </c>
      <c r="V138" s="6">
        <f>16/15</f>
        <v>1.0666666666666667</v>
      </c>
      <c r="W138" s="10">
        <v>0</v>
      </c>
      <c r="X138" s="10">
        <v>0</v>
      </c>
      <c r="Y138" s="3">
        <f>SUM(W138:X138)</f>
        <v>0</v>
      </c>
      <c r="Z138" s="23">
        <v>0</v>
      </c>
      <c r="AA138" s="2">
        <v>3</v>
      </c>
      <c r="AB138" s="2">
        <v>3</v>
      </c>
      <c r="AC138" s="3">
        <f>SUM(AA138:AB138)</f>
        <v>6</v>
      </c>
      <c r="AD138" s="6">
        <f>65/15</f>
        <v>4.333333333333333</v>
      </c>
      <c r="AE138" s="10">
        <v>3</v>
      </c>
      <c r="AF138" s="10">
        <v>1</v>
      </c>
      <c r="AG138" s="3">
        <f>SUM(AE138:AF138)</f>
        <v>4</v>
      </c>
      <c r="AH138" s="23">
        <f>61/15</f>
        <v>4.0666666666666664</v>
      </c>
      <c r="AI138" s="2">
        <v>7</v>
      </c>
      <c r="AJ138" s="2">
        <v>3</v>
      </c>
      <c r="AK138" s="3">
        <f>SUM(AI138:AJ138)</f>
        <v>10</v>
      </c>
      <c r="AL138" s="6">
        <f>129/15</f>
        <v>8.6</v>
      </c>
      <c r="AM138" s="10">
        <v>4</v>
      </c>
      <c r="AN138" s="10">
        <v>3</v>
      </c>
      <c r="AO138" s="3">
        <f>SUM(AM138:AN138)</f>
        <v>7</v>
      </c>
      <c r="AP138" s="23">
        <f>81/15</f>
        <v>5.4</v>
      </c>
      <c r="AQ138" s="2">
        <v>9</v>
      </c>
      <c r="AR138" s="2">
        <v>2</v>
      </c>
      <c r="AS138" s="3">
        <f t="shared" si="105"/>
        <v>11</v>
      </c>
      <c r="AT138" s="6">
        <f>138.5/15</f>
        <v>9.2333333333333325</v>
      </c>
      <c r="AU138" s="10">
        <v>5</v>
      </c>
      <c r="AV138" s="10">
        <v>2</v>
      </c>
      <c r="AW138" s="3">
        <f>SUM(AU138:AV138)</f>
        <v>7</v>
      </c>
      <c r="AX138" s="23">
        <f>91/15</f>
        <v>6.0666666666666664</v>
      </c>
      <c r="AY138" s="2">
        <v>13</v>
      </c>
      <c r="AZ138" s="2">
        <v>3</v>
      </c>
      <c r="BA138" s="3">
        <f>SUM(AY138:AZ138)</f>
        <v>16</v>
      </c>
      <c r="BB138" s="6">
        <f>226/15</f>
        <v>15.066666666666666</v>
      </c>
      <c r="BC138" s="10">
        <v>10</v>
      </c>
      <c r="BD138" s="10">
        <v>2</v>
      </c>
      <c r="BE138" s="3">
        <f>SUM(BC138:BD138)</f>
        <v>12</v>
      </c>
      <c r="BF138" s="23">
        <f>172/15</f>
        <v>11.466666666666667</v>
      </c>
    </row>
    <row r="139" spans="1:147" hidden="1" x14ac:dyDescent="0.2">
      <c r="A139" s="36" t="s">
        <v>256</v>
      </c>
      <c r="B139" s="9" t="s">
        <v>257</v>
      </c>
      <c r="C139" s="32"/>
      <c r="D139" s="32"/>
      <c r="E139" s="34"/>
      <c r="F139" s="31"/>
      <c r="G139" s="29"/>
      <c r="H139" s="29"/>
      <c r="I139" s="34"/>
      <c r="J139" s="33"/>
      <c r="K139" s="32"/>
      <c r="L139" s="32"/>
      <c r="M139" s="34"/>
      <c r="N139" s="31"/>
      <c r="O139" s="29"/>
      <c r="P139" s="29"/>
      <c r="Q139" s="34"/>
      <c r="R139" s="33"/>
      <c r="W139" s="10"/>
      <c r="X139" s="10"/>
      <c r="Y139" s="3"/>
      <c r="Z139" s="23"/>
      <c r="AE139" s="10"/>
      <c r="AF139" s="10"/>
      <c r="AG139" s="3"/>
      <c r="AH139" s="23"/>
      <c r="AM139" s="10"/>
      <c r="AN139" s="10"/>
      <c r="AO139" s="3"/>
      <c r="AP139" s="23"/>
      <c r="AQ139" s="2">
        <v>0</v>
      </c>
      <c r="AR139" s="2">
        <v>1</v>
      </c>
      <c r="AS139" s="3">
        <f t="shared" si="105"/>
        <v>1</v>
      </c>
      <c r="AT139" s="6">
        <f>3/15</f>
        <v>0.2</v>
      </c>
      <c r="AU139" s="10"/>
      <c r="AV139" s="10"/>
      <c r="AW139" s="3"/>
      <c r="AX139" s="23"/>
      <c r="BC139" s="10"/>
      <c r="BD139" s="10"/>
      <c r="BE139" s="3"/>
      <c r="BF139" s="23"/>
    </row>
    <row r="140" spans="1:147" x14ac:dyDescent="0.2">
      <c r="A140" s="36" t="s">
        <v>163</v>
      </c>
      <c r="B140" s="8" t="s">
        <v>196</v>
      </c>
      <c r="C140" s="32"/>
      <c r="D140" s="32"/>
      <c r="E140" s="34"/>
      <c r="F140" s="31"/>
      <c r="G140" s="29"/>
      <c r="H140" s="29"/>
      <c r="I140" s="34"/>
      <c r="J140" s="33"/>
      <c r="K140" s="32"/>
      <c r="L140" s="32"/>
      <c r="M140" s="34"/>
      <c r="N140" s="31"/>
      <c r="O140" s="29"/>
      <c r="P140" s="29"/>
      <c r="Q140" s="34"/>
      <c r="R140" s="33"/>
      <c r="S140" s="2">
        <v>0</v>
      </c>
      <c r="T140" s="2">
        <v>7</v>
      </c>
      <c r="U140" s="3">
        <f>SUM(S140:T140)</f>
        <v>7</v>
      </c>
      <c r="V140" s="6">
        <f>37/15</f>
        <v>2.4666666666666668</v>
      </c>
      <c r="W140" s="10">
        <v>0</v>
      </c>
      <c r="X140" s="10">
        <v>6</v>
      </c>
      <c r="Y140" s="3">
        <f>SUM(W140:X140)</f>
        <v>6</v>
      </c>
      <c r="Z140" s="23">
        <f>42/15</f>
        <v>2.8</v>
      </c>
      <c r="AA140" s="2">
        <v>0</v>
      </c>
      <c r="AB140" s="2">
        <v>15</v>
      </c>
      <c r="AC140" s="3">
        <f>SUM(AA140:AB140)</f>
        <v>15</v>
      </c>
      <c r="AD140" s="6">
        <f>103/15</f>
        <v>6.8666666666666663</v>
      </c>
      <c r="AE140" s="10">
        <v>0</v>
      </c>
      <c r="AF140" s="10">
        <v>15</v>
      </c>
      <c r="AG140" s="3">
        <f>SUM(AE140:AF140)</f>
        <v>15</v>
      </c>
      <c r="AH140" s="23">
        <f>112/15</f>
        <v>7.4666666666666668</v>
      </c>
      <c r="AI140" s="2">
        <v>0</v>
      </c>
      <c r="AJ140" s="2">
        <v>25</v>
      </c>
      <c r="AK140" s="3">
        <f>SUM(AI140:AJ140)</f>
        <v>25</v>
      </c>
      <c r="AL140" s="6">
        <f>176/15</f>
        <v>11.733333333333333</v>
      </c>
      <c r="AM140" s="10">
        <v>0</v>
      </c>
      <c r="AN140" s="10">
        <v>24</v>
      </c>
      <c r="AO140" s="3">
        <f>SUM(AM140:AN140)</f>
        <v>24</v>
      </c>
      <c r="AP140" s="23">
        <f>182/15</f>
        <v>12.133333333333333</v>
      </c>
      <c r="AQ140" s="2">
        <v>0</v>
      </c>
      <c r="AR140" s="2">
        <v>35</v>
      </c>
      <c r="AS140" s="3">
        <f t="shared" si="105"/>
        <v>35</v>
      </c>
      <c r="AT140" s="6">
        <f>241/15</f>
        <v>16.066666666666666</v>
      </c>
      <c r="AU140" s="10">
        <v>0</v>
      </c>
      <c r="AV140" s="10">
        <v>36</v>
      </c>
      <c r="AW140" s="3">
        <f>SUM(AU140:AV140)</f>
        <v>36</v>
      </c>
      <c r="AX140" s="23">
        <f>253/15</f>
        <v>16.866666666666667</v>
      </c>
      <c r="AY140" s="2">
        <v>0</v>
      </c>
      <c r="AZ140" s="2">
        <v>36</v>
      </c>
      <c r="BA140" s="3">
        <f>SUM(AY140:AZ140)</f>
        <v>36</v>
      </c>
      <c r="BB140" s="6">
        <f>261/15</f>
        <v>17.399999999999999</v>
      </c>
      <c r="BC140" s="10">
        <v>0</v>
      </c>
      <c r="BD140" s="10">
        <v>33</v>
      </c>
      <c r="BE140" s="3">
        <f>SUM(BC140:BD140)</f>
        <v>33</v>
      </c>
      <c r="BF140" s="23">
        <f>236/15</f>
        <v>15.733333333333333</v>
      </c>
    </row>
    <row r="141" spans="1:147" x14ac:dyDescent="0.2">
      <c r="A141" s="36" t="s">
        <v>164</v>
      </c>
      <c r="B141" s="8" t="s">
        <v>197</v>
      </c>
      <c r="C141" s="2">
        <v>16</v>
      </c>
      <c r="D141" s="2">
        <v>3</v>
      </c>
      <c r="E141" s="3">
        <f>SUM(C141:D141)</f>
        <v>19</v>
      </c>
      <c r="F141" s="6">
        <v>21.6</v>
      </c>
      <c r="G141" s="10"/>
      <c r="H141" s="10"/>
      <c r="I141" s="3">
        <f>SUM(G141:H141)</f>
        <v>0</v>
      </c>
      <c r="J141" s="23"/>
      <c r="K141" s="2">
        <v>15</v>
      </c>
      <c r="L141" s="2">
        <v>1</v>
      </c>
      <c r="M141" s="3">
        <f>SUM(K141:L141)</f>
        <v>16</v>
      </c>
      <c r="N141" s="6">
        <f>283/15</f>
        <v>18.866666666666667</v>
      </c>
      <c r="O141" s="10">
        <v>15</v>
      </c>
      <c r="P141" s="10">
        <v>2</v>
      </c>
      <c r="Q141" s="3">
        <f>SUM(O141:P141)</f>
        <v>17</v>
      </c>
      <c r="R141" s="23">
        <v>18.3</v>
      </c>
      <c r="S141" s="2">
        <v>24</v>
      </c>
      <c r="T141" s="2">
        <v>1</v>
      </c>
      <c r="U141" s="3">
        <f>SUM(S141:T141)</f>
        <v>25</v>
      </c>
      <c r="V141" s="6">
        <f>453/15</f>
        <v>30.2</v>
      </c>
      <c r="W141" s="10">
        <v>17</v>
      </c>
      <c r="X141" s="10">
        <v>4</v>
      </c>
      <c r="Y141" s="3">
        <f>SUM(W141:X141)</f>
        <v>21</v>
      </c>
      <c r="Z141" s="23">
        <f>317/15</f>
        <v>21.133333333333333</v>
      </c>
      <c r="AA141" s="2">
        <v>22</v>
      </c>
      <c r="AB141" s="2">
        <v>7</v>
      </c>
      <c r="AC141" s="3">
        <f>SUM(AA141:AB141)</f>
        <v>29</v>
      </c>
      <c r="AD141" s="6">
        <f>431/15</f>
        <v>28.733333333333334</v>
      </c>
      <c r="AE141" s="10">
        <v>27</v>
      </c>
      <c r="AF141" s="10">
        <v>4</v>
      </c>
      <c r="AG141" s="3">
        <f>SUM(AE141:AF141)</f>
        <v>31</v>
      </c>
      <c r="AH141" s="23">
        <f>470/15</f>
        <v>31.333333333333332</v>
      </c>
      <c r="AI141" s="2">
        <v>40</v>
      </c>
      <c r="AJ141" s="2">
        <v>3</v>
      </c>
      <c r="AK141" s="3">
        <f>SUM(AI141:AJ141)</f>
        <v>43</v>
      </c>
      <c r="AL141" s="6">
        <f>709/15</f>
        <v>47.266666666666666</v>
      </c>
      <c r="AM141" s="10">
        <v>33</v>
      </c>
      <c r="AN141" s="10">
        <v>4</v>
      </c>
      <c r="AO141" s="3">
        <f>SUM(AM141:AN141)</f>
        <v>37</v>
      </c>
      <c r="AP141" s="23">
        <f>614/15</f>
        <v>40.93333333333333</v>
      </c>
      <c r="AQ141" s="2">
        <v>20</v>
      </c>
      <c r="AR141" s="2">
        <v>1</v>
      </c>
      <c r="AS141" s="3">
        <f t="shared" si="105"/>
        <v>21</v>
      </c>
      <c r="AT141" s="6">
        <f>325.5/15</f>
        <v>21.7</v>
      </c>
      <c r="AU141" s="10">
        <v>30</v>
      </c>
      <c r="AV141" s="10">
        <v>2</v>
      </c>
      <c r="AW141" s="3">
        <f>SUM(AU141:AV141)</f>
        <v>32</v>
      </c>
      <c r="AX141" s="23">
        <f>522/15</f>
        <v>34.799999999999997</v>
      </c>
      <c r="AY141" s="2">
        <v>22</v>
      </c>
      <c r="AZ141" s="2">
        <v>1</v>
      </c>
      <c r="BA141" s="3">
        <f>SUM(AY141:AZ141)</f>
        <v>23</v>
      </c>
      <c r="BB141" s="6">
        <f>380.5/15</f>
        <v>25.366666666666667</v>
      </c>
      <c r="BC141" s="10">
        <v>23</v>
      </c>
      <c r="BD141" s="10">
        <v>3</v>
      </c>
      <c r="BE141" s="3">
        <f>SUM(BC141:BD141)</f>
        <v>26</v>
      </c>
      <c r="BF141" s="23">
        <f>436/15</f>
        <v>29.066666666666666</v>
      </c>
    </row>
    <row r="142" spans="1:147" x14ac:dyDescent="0.2">
      <c r="A142" s="37" t="s">
        <v>165</v>
      </c>
      <c r="B142" s="8" t="s">
        <v>198</v>
      </c>
      <c r="C142" s="5">
        <v>39</v>
      </c>
      <c r="D142" s="5">
        <v>4</v>
      </c>
      <c r="E142" s="7">
        <f>SUM(C142:D142)</f>
        <v>43</v>
      </c>
      <c r="F142" s="6">
        <v>44.7</v>
      </c>
      <c r="G142" s="10"/>
      <c r="H142" s="10"/>
      <c r="I142" s="7">
        <f>SUM(G142:H142)</f>
        <v>0</v>
      </c>
      <c r="J142" s="23"/>
      <c r="K142" s="5">
        <v>43</v>
      </c>
      <c r="L142" s="5">
        <v>6</v>
      </c>
      <c r="M142" s="7">
        <f>SUM(K142:L142)</f>
        <v>49</v>
      </c>
      <c r="N142" s="6">
        <f>755/15</f>
        <v>50.333333333333336</v>
      </c>
      <c r="O142" s="10">
        <v>38</v>
      </c>
      <c r="P142" s="10">
        <v>3</v>
      </c>
      <c r="Q142" s="7">
        <f>SUM(O142:P142)</f>
        <v>41</v>
      </c>
      <c r="R142" s="23">
        <v>42.7</v>
      </c>
      <c r="S142" s="5">
        <v>37</v>
      </c>
      <c r="T142" s="5">
        <v>2</v>
      </c>
      <c r="U142" s="7">
        <f>SUM(S142:T142)</f>
        <v>39</v>
      </c>
      <c r="V142" s="6">
        <f>620/15</f>
        <v>41.333333333333336</v>
      </c>
      <c r="W142" s="10">
        <v>35</v>
      </c>
      <c r="X142" s="10">
        <v>9</v>
      </c>
      <c r="Y142" s="7">
        <f>SUM(W142:X142)</f>
        <v>44</v>
      </c>
      <c r="Z142" s="23">
        <f>657/15</f>
        <v>43.8</v>
      </c>
      <c r="AA142" s="5">
        <v>41</v>
      </c>
      <c r="AB142" s="5">
        <v>1</v>
      </c>
      <c r="AC142" s="7">
        <f>SUM(AA142:AB142)</f>
        <v>42</v>
      </c>
      <c r="AD142" s="6">
        <f>699.5/15</f>
        <v>46.633333333333333</v>
      </c>
      <c r="AE142" s="10">
        <v>30</v>
      </c>
      <c r="AF142" s="10">
        <v>6</v>
      </c>
      <c r="AG142" s="7">
        <f>SUM(AE142:AF142)</f>
        <v>36</v>
      </c>
      <c r="AH142" s="23">
        <f>580/15</f>
        <v>38.666666666666664</v>
      </c>
      <c r="AI142" s="5">
        <v>54</v>
      </c>
      <c r="AJ142" s="5">
        <v>8</v>
      </c>
      <c r="AK142" s="7">
        <f>SUM(AI142:AJ142)</f>
        <v>62</v>
      </c>
      <c r="AL142" s="6">
        <f>893.5/15</f>
        <v>59.56666666666667</v>
      </c>
      <c r="AM142" s="10">
        <v>51</v>
      </c>
      <c r="AN142" s="10">
        <v>6</v>
      </c>
      <c r="AO142" s="7">
        <f>SUM(AM142:AN142)</f>
        <v>57</v>
      </c>
      <c r="AP142" s="23">
        <f>881/15</f>
        <v>58.733333333333334</v>
      </c>
      <c r="AQ142" s="5">
        <v>56</v>
      </c>
      <c r="AR142" s="5">
        <v>8</v>
      </c>
      <c r="AS142" s="7">
        <f t="shared" si="105"/>
        <v>64</v>
      </c>
      <c r="AT142" s="6">
        <f>1035/15</f>
        <v>69</v>
      </c>
      <c r="AU142" s="10">
        <v>60</v>
      </c>
      <c r="AV142" s="10">
        <v>6</v>
      </c>
      <c r="AW142" s="7">
        <f>SUM(AU142:AV142)</f>
        <v>66</v>
      </c>
      <c r="AX142" s="23">
        <f>1014.5/15</f>
        <v>67.63333333333334</v>
      </c>
      <c r="AY142" s="5">
        <v>54</v>
      </c>
      <c r="AZ142" s="5">
        <v>6</v>
      </c>
      <c r="BA142" s="7">
        <f>SUM(AY142:AZ142)</f>
        <v>60</v>
      </c>
      <c r="BB142" s="6">
        <f>985.5/15</f>
        <v>65.7</v>
      </c>
      <c r="BC142" s="10">
        <v>45</v>
      </c>
      <c r="BD142" s="10">
        <v>6</v>
      </c>
      <c r="BE142" s="7">
        <f>SUM(BC142:BD142)</f>
        <v>51</v>
      </c>
      <c r="BF142" s="23">
        <f>862.5/15</f>
        <v>57.5</v>
      </c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</row>
    <row r="143" spans="1:147" x14ac:dyDescent="0.2">
      <c r="B143" s="27" t="s">
        <v>7</v>
      </c>
      <c r="C143" s="43">
        <f t="shared" ref="C143:AH143" si="106">SUM(C108:C142)</f>
        <v>300</v>
      </c>
      <c r="D143" s="43">
        <f t="shared" si="106"/>
        <v>86</v>
      </c>
      <c r="E143" s="45">
        <f t="shared" si="106"/>
        <v>385</v>
      </c>
      <c r="F143" s="39">
        <f t="shared" si="106"/>
        <v>355.1</v>
      </c>
      <c r="G143" s="43">
        <f t="shared" si="106"/>
        <v>0</v>
      </c>
      <c r="H143" s="43">
        <f t="shared" si="106"/>
        <v>0</v>
      </c>
      <c r="I143" s="45">
        <f t="shared" si="106"/>
        <v>0</v>
      </c>
      <c r="J143" s="39">
        <f t="shared" si="106"/>
        <v>0</v>
      </c>
      <c r="K143" s="43">
        <f t="shared" si="106"/>
        <v>346</v>
      </c>
      <c r="L143" s="43">
        <f t="shared" si="106"/>
        <v>81</v>
      </c>
      <c r="M143" s="45">
        <f t="shared" si="106"/>
        <v>427</v>
      </c>
      <c r="N143" s="39">
        <f t="shared" si="106"/>
        <v>393.33333333333331</v>
      </c>
      <c r="O143" s="43">
        <f t="shared" si="106"/>
        <v>297</v>
      </c>
      <c r="P143" s="43">
        <f t="shared" si="106"/>
        <v>93</v>
      </c>
      <c r="Q143" s="45">
        <f t="shared" si="106"/>
        <v>390</v>
      </c>
      <c r="R143" s="39">
        <f t="shared" si="106"/>
        <v>349.2</v>
      </c>
      <c r="S143" s="43">
        <f t="shared" si="106"/>
        <v>387</v>
      </c>
      <c r="T143" s="43">
        <f t="shared" si="106"/>
        <v>98</v>
      </c>
      <c r="U143" s="45">
        <f t="shared" si="106"/>
        <v>485</v>
      </c>
      <c r="V143" s="39">
        <f t="shared" si="106"/>
        <v>444.23333333333335</v>
      </c>
      <c r="W143" s="43">
        <f t="shared" si="106"/>
        <v>344</v>
      </c>
      <c r="X143" s="43">
        <f t="shared" si="106"/>
        <v>105</v>
      </c>
      <c r="Y143" s="45">
        <f t="shared" si="106"/>
        <v>449</v>
      </c>
      <c r="Z143" s="39">
        <f t="shared" si="106"/>
        <v>404.7</v>
      </c>
      <c r="AA143" s="43">
        <f t="shared" si="106"/>
        <v>399</v>
      </c>
      <c r="AB143" s="43">
        <f t="shared" si="106"/>
        <v>129</v>
      </c>
      <c r="AC143" s="45">
        <f t="shared" si="106"/>
        <v>528</v>
      </c>
      <c r="AD143" s="39">
        <f t="shared" si="106"/>
        <v>469.43333333333322</v>
      </c>
      <c r="AE143" s="43">
        <f t="shared" si="106"/>
        <v>354</v>
      </c>
      <c r="AF143" s="43">
        <f t="shared" si="106"/>
        <v>117</v>
      </c>
      <c r="AG143" s="45">
        <f t="shared" si="106"/>
        <v>471</v>
      </c>
      <c r="AH143" s="39">
        <f t="shared" si="106"/>
        <v>425.36666666666656</v>
      </c>
      <c r="AI143" s="43">
        <f t="shared" ref="AI143:BN143" si="107">SUM(AI108:AI142)</f>
        <v>507</v>
      </c>
      <c r="AJ143" s="43">
        <f t="shared" si="107"/>
        <v>127</v>
      </c>
      <c r="AK143" s="45">
        <f t="shared" si="107"/>
        <v>634</v>
      </c>
      <c r="AL143" s="39">
        <f t="shared" si="107"/>
        <v>586.06666666666695</v>
      </c>
      <c r="AM143" s="43">
        <f t="shared" si="107"/>
        <v>448</v>
      </c>
      <c r="AN143" s="43">
        <f t="shared" si="107"/>
        <v>128</v>
      </c>
      <c r="AO143" s="45">
        <f t="shared" si="107"/>
        <v>576</v>
      </c>
      <c r="AP143" s="39">
        <f t="shared" si="107"/>
        <v>540.29999999999995</v>
      </c>
      <c r="AQ143" s="43">
        <f t="shared" si="107"/>
        <v>387</v>
      </c>
      <c r="AR143" s="43">
        <f t="shared" si="107"/>
        <v>126</v>
      </c>
      <c r="AS143" s="45">
        <f t="shared" si="107"/>
        <v>513</v>
      </c>
      <c r="AT143" s="39">
        <f t="shared" si="107"/>
        <v>466.33333333333337</v>
      </c>
      <c r="AU143" s="43">
        <f t="shared" si="107"/>
        <v>405</v>
      </c>
      <c r="AV143" s="43">
        <f t="shared" si="107"/>
        <v>138</v>
      </c>
      <c r="AW143" s="45">
        <f t="shared" si="107"/>
        <v>543</v>
      </c>
      <c r="AX143" s="39">
        <f t="shared" si="107"/>
        <v>496.76666666666665</v>
      </c>
      <c r="AY143" s="43">
        <f t="shared" si="107"/>
        <v>408</v>
      </c>
      <c r="AZ143" s="43">
        <f t="shared" si="107"/>
        <v>124</v>
      </c>
      <c r="BA143" s="45">
        <f t="shared" si="107"/>
        <v>532</v>
      </c>
      <c r="BB143" s="39">
        <f t="shared" si="107"/>
        <v>485.06666666666672</v>
      </c>
      <c r="BC143" s="43">
        <f t="shared" si="107"/>
        <v>389</v>
      </c>
      <c r="BD143" s="43">
        <f t="shared" si="107"/>
        <v>132</v>
      </c>
      <c r="BE143" s="45">
        <f t="shared" si="107"/>
        <v>521</v>
      </c>
      <c r="BF143" s="39">
        <f t="shared" si="107"/>
        <v>483.73333333333341</v>
      </c>
    </row>
    <row r="144" spans="1:147" x14ac:dyDescent="0.2">
      <c r="B144" s="8"/>
      <c r="C144" s="20"/>
      <c r="D144" s="20"/>
      <c r="E144" s="15"/>
      <c r="G144" s="20"/>
      <c r="H144" s="20"/>
      <c r="I144" s="26" t="s">
        <v>8</v>
      </c>
      <c r="J144" s="6">
        <f>(F143+J143)/2</f>
        <v>177.55</v>
      </c>
      <c r="K144" s="20"/>
      <c r="L144" s="20"/>
      <c r="M144" s="15"/>
      <c r="O144" s="20"/>
      <c r="P144" s="20"/>
      <c r="Q144" s="26" t="s">
        <v>8</v>
      </c>
      <c r="R144" s="6">
        <f>(N143+R143)/2</f>
        <v>371.26666666666665</v>
      </c>
      <c r="S144" s="20"/>
      <c r="T144" s="20"/>
      <c r="U144" s="15"/>
      <c r="W144" s="20"/>
      <c r="X144" s="20"/>
      <c r="Y144" s="26" t="s">
        <v>8</v>
      </c>
      <c r="Z144" s="6">
        <f>(V143+Z143)/2</f>
        <v>424.4666666666667</v>
      </c>
      <c r="AA144" s="20"/>
      <c r="AB144" s="20"/>
      <c r="AC144" s="15"/>
      <c r="AE144" s="20"/>
      <c r="AF144" s="20"/>
      <c r="AG144" s="26" t="s">
        <v>8</v>
      </c>
      <c r="AH144" s="6">
        <f>(AD143+AH143)/2</f>
        <v>447.39999999999986</v>
      </c>
      <c r="AI144" s="20"/>
      <c r="AJ144" s="20"/>
      <c r="AK144" s="15"/>
      <c r="AM144" s="20"/>
      <c r="AN144" s="20"/>
      <c r="AO144" s="26" t="s">
        <v>8</v>
      </c>
      <c r="AP144" s="6">
        <f>(AL143+AP143)/2</f>
        <v>563.18333333333339</v>
      </c>
      <c r="AQ144" s="20"/>
      <c r="AR144" s="20"/>
      <c r="AS144" s="15"/>
      <c r="AU144" s="20"/>
      <c r="AV144" s="20"/>
      <c r="AW144" s="26" t="s">
        <v>8</v>
      </c>
      <c r="AX144" s="6">
        <f>(AT143+AX143)/2</f>
        <v>481.55</v>
      </c>
      <c r="AY144" s="20"/>
      <c r="AZ144" s="20"/>
      <c r="BA144" s="15"/>
      <c r="BC144" s="20"/>
      <c r="BD144" s="20"/>
      <c r="BE144" s="26" t="s">
        <v>8</v>
      </c>
      <c r="BF144" s="6">
        <f>(BB143+BF143)/2</f>
        <v>484.40000000000009</v>
      </c>
    </row>
    <row r="145" spans="1:58" x14ac:dyDescent="0.2">
      <c r="B145" s="8"/>
      <c r="C145" s="20"/>
      <c r="D145" s="20"/>
      <c r="E145" s="15"/>
      <c r="G145" s="20"/>
      <c r="H145" s="20"/>
      <c r="I145" s="26"/>
      <c r="J145" s="6"/>
      <c r="K145" s="20"/>
      <c r="L145" s="20"/>
      <c r="M145" s="15"/>
      <c r="O145" s="20"/>
      <c r="P145" s="20"/>
      <c r="Q145" s="26"/>
      <c r="R145" s="6"/>
      <c r="S145" s="20"/>
      <c r="T145" s="20"/>
      <c r="U145" s="15"/>
      <c r="W145" s="20"/>
      <c r="X145" s="20"/>
      <c r="Y145" s="26"/>
      <c r="Z145" s="6"/>
      <c r="AA145" s="20"/>
      <c r="AB145" s="20"/>
      <c r="AC145" s="15"/>
      <c r="AE145" s="20"/>
      <c r="AF145" s="20"/>
      <c r="AG145" s="26"/>
      <c r="AH145" s="6"/>
      <c r="AI145" s="20"/>
      <c r="AJ145" s="20"/>
      <c r="AK145" s="15"/>
      <c r="AM145" s="20"/>
      <c r="AN145" s="20"/>
      <c r="AO145" s="26"/>
      <c r="AP145" s="6"/>
      <c r="AQ145" s="20"/>
      <c r="AR145" s="20"/>
      <c r="AS145" s="15"/>
      <c r="AU145" s="20"/>
      <c r="AV145" s="20"/>
      <c r="AW145" s="26"/>
      <c r="AX145" s="6"/>
      <c r="AY145" s="20"/>
      <c r="AZ145" s="20"/>
      <c r="BA145" s="15"/>
      <c r="BC145" s="20"/>
      <c r="BD145" s="20"/>
      <c r="BE145" s="26"/>
      <c r="BF145" s="6"/>
    </row>
    <row r="146" spans="1:58" x14ac:dyDescent="0.2">
      <c r="B146" s="8"/>
      <c r="E146" s="3" t="s">
        <v>263</v>
      </c>
      <c r="F146" s="21"/>
      <c r="I146" s="3" t="s">
        <v>264</v>
      </c>
      <c r="J146" s="6"/>
      <c r="M146" s="3" t="s">
        <v>232</v>
      </c>
      <c r="N146" s="21"/>
      <c r="Q146" s="3" t="s">
        <v>233</v>
      </c>
      <c r="R146" s="6"/>
      <c r="U146" s="3" t="s">
        <v>225</v>
      </c>
      <c r="V146" s="21"/>
      <c r="Y146" s="3" t="s">
        <v>226</v>
      </c>
      <c r="Z146" s="6"/>
      <c r="AC146" s="3" t="s">
        <v>221</v>
      </c>
      <c r="AD146" s="21"/>
      <c r="AG146" s="3" t="s">
        <v>222</v>
      </c>
      <c r="AH146" s="6"/>
      <c r="AK146" s="3" t="s">
        <v>215</v>
      </c>
      <c r="AL146" s="21"/>
      <c r="AO146" s="3" t="s">
        <v>216</v>
      </c>
      <c r="AP146" s="6"/>
      <c r="AS146" s="3" t="s">
        <v>209</v>
      </c>
      <c r="AT146" s="21"/>
      <c r="AW146" s="3" t="s">
        <v>210</v>
      </c>
      <c r="AX146" s="6"/>
      <c r="BA146" s="3" t="s">
        <v>205</v>
      </c>
      <c r="BB146" s="21"/>
      <c r="BE146" s="3" t="s">
        <v>206</v>
      </c>
      <c r="BF146" s="6"/>
    </row>
    <row r="147" spans="1:58" x14ac:dyDescent="0.2">
      <c r="B147" s="4" t="s">
        <v>251</v>
      </c>
      <c r="C147" s="2" t="s">
        <v>0</v>
      </c>
      <c r="D147" s="2" t="s">
        <v>1</v>
      </c>
      <c r="E147" s="7" t="s">
        <v>5</v>
      </c>
      <c r="F147" s="6" t="s">
        <v>6</v>
      </c>
      <c r="G147" s="2" t="s">
        <v>0</v>
      </c>
      <c r="H147" s="2" t="s">
        <v>1</v>
      </c>
      <c r="I147" s="7" t="s">
        <v>5</v>
      </c>
      <c r="J147" s="6" t="s">
        <v>6</v>
      </c>
      <c r="K147" s="2" t="s">
        <v>0</v>
      </c>
      <c r="L147" s="2" t="s">
        <v>1</v>
      </c>
      <c r="M147" s="7" t="s">
        <v>5</v>
      </c>
      <c r="N147" s="6" t="s">
        <v>6</v>
      </c>
      <c r="O147" s="2" t="s">
        <v>0</v>
      </c>
      <c r="P147" s="2" t="s">
        <v>1</v>
      </c>
      <c r="Q147" s="7" t="s">
        <v>5</v>
      </c>
      <c r="R147" s="6" t="s">
        <v>6</v>
      </c>
      <c r="S147" s="2" t="s">
        <v>0</v>
      </c>
      <c r="T147" s="2" t="s">
        <v>1</v>
      </c>
      <c r="U147" s="7" t="s">
        <v>5</v>
      </c>
      <c r="V147" s="6" t="s">
        <v>6</v>
      </c>
      <c r="W147" s="2" t="s">
        <v>0</v>
      </c>
      <c r="X147" s="2" t="s">
        <v>1</v>
      </c>
      <c r="Y147" s="7" t="s">
        <v>5</v>
      </c>
      <c r="Z147" s="6" t="s">
        <v>6</v>
      </c>
      <c r="AA147" s="2" t="s">
        <v>0</v>
      </c>
      <c r="AB147" s="2" t="s">
        <v>1</v>
      </c>
      <c r="AC147" s="7" t="s">
        <v>5</v>
      </c>
      <c r="AD147" s="6" t="s">
        <v>6</v>
      </c>
      <c r="AE147" s="2" t="s">
        <v>0</v>
      </c>
      <c r="AF147" s="2" t="s">
        <v>1</v>
      </c>
      <c r="AG147" s="7" t="s">
        <v>5</v>
      </c>
      <c r="AH147" s="6" t="s">
        <v>6</v>
      </c>
      <c r="AI147" s="2" t="s">
        <v>0</v>
      </c>
      <c r="AJ147" s="2" t="s">
        <v>1</v>
      </c>
      <c r="AK147" s="7" t="s">
        <v>5</v>
      </c>
      <c r="AL147" s="6" t="s">
        <v>6</v>
      </c>
      <c r="AM147" s="2" t="s">
        <v>0</v>
      </c>
      <c r="AN147" s="2" t="s">
        <v>1</v>
      </c>
      <c r="AO147" s="7" t="s">
        <v>5</v>
      </c>
      <c r="AP147" s="6" t="s">
        <v>6</v>
      </c>
      <c r="AQ147" s="2" t="s">
        <v>0</v>
      </c>
      <c r="AR147" s="2" t="s">
        <v>1</v>
      </c>
      <c r="AS147" s="7" t="s">
        <v>5</v>
      </c>
      <c r="AT147" s="6" t="s">
        <v>6</v>
      </c>
      <c r="AU147" s="2" t="s">
        <v>0</v>
      </c>
      <c r="AV147" s="2" t="s">
        <v>1</v>
      </c>
      <c r="AW147" s="7" t="s">
        <v>5</v>
      </c>
      <c r="AX147" s="6" t="s">
        <v>6</v>
      </c>
      <c r="AY147" s="2" t="s">
        <v>0</v>
      </c>
      <c r="AZ147" s="2" t="s">
        <v>1</v>
      </c>
      <c r="BA147" s="7" t="s">
        <v>5</v>
      </c>
      <c r="BB147" s="6" t="s">
        <v>6</v>
      </c>
      <c r="BC147" s="2" t="s">
        <v>0</v>
      </c>
      <c r="BD147" s="2" t="s">
        <v>1</v>
      </c>
      <c r="BE147" s="7" t="s">
        <v>5</v>
      </c>
      <c r="BF147" s="6" t="s">
        <v>6</v>
      </c>
    </row>
    <row r="148" spans="1:58" x14ac:dyDescent="0.2">
      <c r="A148" s="36" t="s">
        <v>136</v>
      </c>
      <c r="B148" s="9" t="s">
        <v>167</v>
      </c>
      <c r="C148" s="2">
        <v>39</v>
      </c>
      <c r="D148" s="2">
        <v>0</v>
      </c>
      <c r="E148" s="3">
        <v>38.700000000000003</v>
      </c>
      <c r="F148" s="6">
        <v>38.700000000000003</v>
      </c>
      <c r="G148" s="10"/>
      <c r="H148" s="10"/>
      <c r="I148" s="3">
        <f>SUM(G148:H148)</f>
        <v>0</v>
      </c>
      <c r="J148" s="23"/>
      <c r="K148" s="2">
        <v>40</v>
      </c>
      <c r="L148" s="2">
        <v>2</v>
      </c>
      <c r="M148" s="3">
        <f>SUM(K148:L148)</f>
        <v>42</v>
      </c>
      <c r="N148" s="6">
        <f>585/15</f>
        <v>39</v>
      </c>
      <c r="O148" s="10">
        <v>38</v>
      </c>
      <c r="P148" s="10">
        <v>6</v>
      </c>
      <c r="Q148" s="3">
        <f>SUM(O148:P148)</f>
        <v>44</v>
      </c>
      <c r="R148" s="23">
        <v>44.2</v>
      </c>
      <c r="S148" s="2">
        <v>47</v>
      </c>
      <c r="T148" s="2">
        <v>1</v>
      </c>
      <c r="U148" s="3">
        <f>SUM(S148:T148)</f>
        <v>48</v>
      </c>
      <c r="V148" s="6">
        <f>679.5/15</f>
        <v>45.3</v>
      </c>
      <c r="W148" s="10">
        <v>34</v>
      </c>
      <c r="X148" s="10">
        <v>2</v>
      </c>
      <c r="Y148" s="3">
        <f>SUM(W148:X148)</f>
        <v>36</v>
      </c>
      <c r="Z148" s="23">
        <f>524/15</f>
        <v>34.93333333333333</v>
      </c>
      <c r="AA148" s="2">
        <v>48</v>
      </c>
      <c r="AB148" s="2">
        <v>9</v>
      </c>
      <c r="AC148" s="3">
        <f>SUM(AA148:AB148)</f>
        <v>57</v>
      </c>
      <c r="AD148" s="6">
        <f>756.5/15</f>
        <v>50.43333333333333</v>
      </c>
      <c r="AE148" s="10">
        <v>47</v>
      </c>
      <c r="AF148" s="10">
        <v>5</v>
      </c>
      <c r="AG148" s="3">
        <f>SUM(AE148:AF148)</f>
        <v>52</v>
      </c>
      <c r="AH148" s="23">
        <f>722.5/15</f>
        <v>48.166666666666664</v>
      </c>
      <c r="AI148" s="2">
        <v>43</v>
      </c>
      <c r="AJ148" s="2">
        <v>4</v>
      </c>
      <c r="AK148" s="3">
        <f>SUM(AI148:AJ148)</f>
        <v>47</v>
      </c>
      <c r="AL148" s="6">
        <f>668/15</f>
        <v>44.533333333333331</v>
      </c>
      <c r="AM148" s="10">
        <v>43</v>
      </c>
      <c r="AN148" s="10">
        <v>2</v>
      </c>
      <c r="AO148" s="3">
        <f>SUM(AM148:AN148)</f>
        <v>45</v>
      </c>
      <c r="AP148" s="23">
        <f>680/15</f>
        <v>45.333333333333336</v>
      </c>
      <c r="AQ148" s="2">
        <v>40</v>
      </c>
      <c r="AR148" s="2">
        <v>3</v>
      </c>
      <c r="AS148" s="3">
        <f>SUM(AQ148:AR148)</f>
        <v>43</v>
      </c>
      <c r="AT148" s="6">
        <f>583/15</f>
        <v>38.866666666666667</v>
      </c>
      <c r="AU148" s="10">
        <v>43</v>
      </c>
      <c r="AV148" s="10">
        <v>4</v>
      </c>
      <c r="AW148" s="3">
        <f>SUM(AU148:AV148)</f>
        <v>47</v>
      </c>
      <c r="AX148" s="23">
        <f>692.5/15</f>
        <v>46.166666666666664</v>
      </c>
      <c r="AY148" s="2">
        <v>38</v>
      </c>
      <c r="AZ148" s="2">
        <v>5</v>
      </c>
      <c r="BA148" s="3">
        <f>SUM(AY148:AZ148)</f>
        <v>43</v>
      </c>
      <c r="BB148" s="6">
        <f>558/15</f>
        <v>37.200000000000003</v>
      </c>
      <c r="BC148" s="10">
        <v>51</v>
      </c>
      <c r="BD148" s="10">
        <v>1</v>
      </c>
      <c r="BE148" s="3">
        <f>SUM(BC148:BD148)</f>
        <v>52</v>
      </c>
      <c r="BF148" s="23">
        <f>765.5/15</f>
        <v>51.033333333333331</v>
      </c>
    </row>
    <row r="149" spans="1:58" x14ac:dyDescent="0.2">
      <c r="A149" s="36" t="s">
        <v>157</v>
      </c>
      <c r="B149" s="8" t="s">
        <v>190</v>
      </c>
      <c r="C149" s="2">
        <v>1</v>
      </c>
      <c r="D149" s="2">
        <v>1</v>
      </c>
      <c r="E149" s="3">
        <f>SUM(C149:D149)</f>
        <v>2</v>
      </c>
      <c r="F149" s="6">
        <v>1.5</v>
      </c>
      <c r="G149" s="10"/>
      <c r="H149" s="10"/>
      <c r="I149" s="3">
        <f>SUM(G149:H149)</f>
        <v>0</v>
      </c>
      <c r="J149" s="23"/>
      <c r="K149" s="2">
        <v>5</v>
      </c>
      <c r="L149" s="2">
        <v>1</v>
      </c>
      <c r="M149" s="3">
        <f>SUM(K149:L149)</f>
        <v>6</v>
      </c>
      <c r="N149" s="6">
        <f>76/15</f>
        <v>5.0666666666666664</v>
      </c>
      <c r="O149" s="10">
        <v>2</v>
      </c>
      <c r="P149" s="10">
        <v>2</v>
      </c>
      <c r="Q149" s="3">
        <f>SUM(O149:P149)</f>
        <v>4</v>
      </c>
      <c r="R149" s="23">
        <v>2.6</v>
      </c>
      <c r="S149" s="2">
        <v>2</v>
      </c>
      <c r="T149" s="2">
        <v>2</v>
      </c>
      <c r="U149" s="3">
        <f>SUM(S149:T149)</f>
        <v>4</v>
      </c>
      <c r="V149" s="6">
        <f>33/15</f>
        <v>2.2000000000000002</v>
      </c>
      <c r="W149" s="10">
        <v>2</v>
      </c>
      <c r="X149" s="10">
        <v>5</v>
      </c>
      <c r="Y149" s="3">
        <f>SUM(W149:X149)</f>
        <v>7</v>
      </c>
      <c r="Z149" s="23">
        <f>64.5/15</f>
        <v>4.3</v>
      </c>
      <c r="AA149" s="2">
        <v>10</v>
      </c>
      <c r="AB149" s="2">
        <v>3</v>
      </c>
      <c r="AC149" s="3">
        <f>SUM(AA149:AB149)</f>
        <v>13</v>
      </c>
      <c r="AD149" s="6">
        <f>180.5/15</f>
        <v>12.033333333333333</v>
      </c>
      <c r="AE149" s="10">
        <v>7</v>
      </c>
      <c r="AF149" s="10">
        <v>5</v>
      </c>
      <c r="AG149" s="3">
        <f>SUM(AE149:AF149)</f>
        <v>12</v>
      </c>
      <c r="AH149" s="23">
        <f>157/15</f>
        <v>10.466666666666667</v>
      </c>
      <c r="AI149" s="2">
        <v>7</v>
      </c>
      <c r="AJ149" s="2">
        <v>4</v>
      </c>
      <c r="AK149" s="3">
        <f>SUM(AI149:AJ149)</f>
        <v>11</v>
      </c>
      <c r="AL149" s="6">
        <f>121/15</f>
        <v>8.0666666666666664</v>
      </c>
      <c r="AM149" s="10">
        <v>5</v>
      </c>
      <c r="AN149" s="10">
        <v>3</v>
      </c>
      <c r="AO149" s="3">
        <f>SUM(AM149:AN149)</f>
        <v>8</v>
      </c>
      <c r="AP149" s="23">
        <f>88/15</f>
        <v>5.8666666666666663</v>
      </c>
      <c r="AQ149" s="2">
        <v>6</v>
      </c>
      <c r="AR149" s="2">
        <v>0</v>
      </c>
      <c r="AS149" s="3">
        <f>SUM(AQ149:AR149)</f>
        <v>6</v>
      </c>
      <c r="AT149" s="6">
        <f>74.5/15</f>
        <v>4.9666666666666668</v>
      </c>
      <c r="AU149" s="10">
        <v>8</v>
      </c>
      <c r="AV149" s="10">
        <v>3</v>
      </c>
      <c r="AW149" s="3">
        <f>SUM(AU149:AV149)</f>
        <v>11</v>
      </c>
      <c r="AX149" s="23">
        <f>136/15</f>
        <v>9.0666666666666664</v>
      </c>
      <c r="AY149" s="2">
        <v>8</v>
      </c>
      <c r="AZ149" s="2">
        <v>0</v>
      </c>
      <c r="BA149" s="3">
        <f>SUM(AY149:AZ149)</f>
        <v>8</v>
      </c>
      <c r="BB149" s="6">
        <f>120/15</f>
        <v>8</v>
      </c>
      <c r="BC149" s="10">
        <v>4</v>
      </c>
      <c r="BD149" s="10">
        <v>1</v>
      </c>
      <c r="BE149" s="3">
        <f>SUM(BC149:BD149)</f>
        <v>5</v>
      </c>
      <c r="BF149" s="23">
        <f>63/15</f>
        <v>4.2</v>
      </c>
    </row>
    <row r="150" spans="1:58" x14ac:dyDescent="0.2">
      <c r="B150" s="27" t="s">
        <v>7</v>
      </c>
      <c r="C150" s="43">
        <f t="shared" ref="C150:J150" si="108">SUM(C148:C149)</f>
        <v>40</v>
      </c>
      <c r="D150" s="43">
        <f t="shared" si="108"/>
        <v>1</v>
      </c>
      <c r="E150" s="45">
        <f t="shared" si="108"/>
        <v>40.700000000000003</v>
      </c>
      <c r="F150" s="39">
        <f t="shared" si="108"/>
        <v>40.200000000000003</v>
      </c>
      <c r="G150" s="43">
        <f t="shared" si="108"/>
        <v>0</v>
      </c>
      <c r="H150" s="43">
        <f t="shared" si="108"/>
        <v>0</v>
      </c>
      <c r="I150" s="45">
        <f t="shared" si="108"/>
        <v>0</v>
      </c>
      <c r="J150" s="39">
        <f t="shared" si="108"/>
        <v>0</v>
      </c>
      <c r="K150" s="43">
        <f t="shared" ref="K150:BF150" si="109">SUM(K148:K149)</f>
        <v>45</v>
      </c>
      <c r="L150" s="43">
        <f t="shared" si="109"/>
        <v>3</v>
      </c>
      <c r="M150" s="45">
        <f t="shared" si="109"/>
        <v>48</v>
      </c>
      <c r="N150" s="39">
        <f t="shared" si="109"/>
        <v>44.066666666666663</v>
      </c>
      <c r="O150" s="43">
        <f t="shared" si="109"/>
        <v>40</v>
      </c>
      <c r="P150" s="43">
        <f t="shared" si="109"/>
        <v>8</v>
      </c>
      <c r="Q150" s="45">
        <f t="shared" si="109"/>
        <v>48</v>
      </c>
      <c r="R150" s="39">
        <f t="shared" si="109"/>
        <v>46.800000000000004</v>
      </c>
      <c r="S150" s="43">
        <f t="shared" si="109"/>
        <v>49</v>
      </c>
      <c r="T150" s="43">
        <f t="shared" si="109"/>
        <v>3</v>
      </c>
      <c r="U150" s="45">
        <f t="shared" si="109"/>
        <v>52</v>
      </c>
      <c r="V150" s="39">
        <f t="shared" si="109"/>
        <v>47.5</v>
      </c>
      <c r="W150" s="43">
        <f t="shared" si="109"/>
        <v>36</v>
      </c>
      <c r="X150" s="43">
        <f t="shared" si="109"/>
        <v>7</v>
      </c>
      <c r="Y150" s="45">
        <f t="shared" si="109"/>
        <v>43</v>
      </c>
      <c r="Z150" s="39">
        <f t="shared" si="109"/>
        <v>39.233333333333327</v>
      </c>
      <c r="AA150" s="43">
        <f t="shared" si="109"/>
        <v>58</v>
      </c>
      <c r="AB150" s="43">
        <f t="shared" si="109"/>
        <v>12</v>
      </c>
      <c r="AC150" s="45">
        <f t="shared" si="109"/>
        <v>70</v>
      </c>
      <c r="AD150" s="39">
        <f t="shared" si="109"/>
        <v>62.466666666666661</v>
      </c>
      <c r="AE150" s="43">
        <f t="shared" si="109"/>
        <v>54</v>
      </c>
      <c r="AF150" s="43">
        <f t="shared" si="109"/>
        <v>10</v>
      </c>
      <c r="AG150" s="45">
        <f t="shared" si="109"/>
        <v>64</v>
      </c>
      <c r="AH150" s="39">
        <f t="shared" si="109"/>
        <v>58.633333333333333</v>
      </c>
      <c r="AI150" s="43">
        <f t="shared" si="109"/>
        <v>50</v>
      </c>
      <c r="AJ150" s="43">
        <f t="shared" si="109"/>
        <v>8</v>
      </c>
      <c r="AK150" s="45">
        <f t="shared" si="109"/>
        <v>58</v>
      </c>
      <c r="AL150" s="39">
        <f t="shared" si="109"/>
        <v>52.599999999999994</v>
      </c>
      <c r="AM150" s="43">
        <f t="shared" si="109"/>
        <v>48</v>
      </c>
      <c r="AN150" s="43">
        <f t="shared" si="109"/>
        <v>5</v>
      </c>
      <c r="AO150" s="45">
        <f t="shared" si="109"/>
        <v>53</v>
      </c>
      <c r="AP150" s="39">
        <f t="shared" si="109"/>
        <v>51.2</v>
      </c>
      <c r="AQ150" s="43">
        <f t="shared" si="109"/>
        <v>46</v>
      </c>
      <c r="AR150" s="43">
        <f t="shared" si="109"/>
        <v>3</v>
      </c>
      <c r="AS150" s="45">
        <f t="shared" si="109"/>
        <v>49</v>
      </c>
      <c r="AT150" s="39">
        <f t="shared" si="109"/>
        <v>43.833333333333336</v>
      </c>
      <c r="AU150" s="43">
        <f t="shared" si="109"/>
        <v>51</v>
      </c>
      <c r="AV150" s="43">
        <f t="shared" si="109"/>
        <v>7</v>
      </c>
      <c r="AW150" s="45">
        <f t="shared" si="109"/>
        <v>58</v>
      </c>
      <c r="AX150" s="39">
        <f t="shared" si="109"/>
        <v>55.233333333333334</v>
      </c>
      <c r="AY150" s="43">
        <f t="shared" si="109"/>
        <v>46</v>
      </c>
      <c r="AZ150" s="43">
        <f t="shared" si="109"/>
        <v>5</v>
      </c>
      <c r="BA150" s="45">
        <f t="shared" si="109"/>
        <v>51</v>
      </c>
      <c r="BB150" s="39">
        <f t="shared" si="109"/>
        <v>45.2</v>
      </c>
      <c r="BC150" s="43">
        <f t="shared" si="109"/>
        <v>55</v>
      </c>
      <c r="BD150" s="43">
        <f t="shared" si="109"/>
        <v>2</v>
      </c>
      <c r="BE150" s="45">
        <f t="shared" si="109"/>
        <v>57</v>
      </c>
      <c r="BF150" s="39">
        <f t="shared" si="109"/>
        <v>55.233333333333334</v>
      </c>
    </row>
    <row r="151" spans="1:58" x14ac:dyDescent="0.2">
      <c r="B151" s="8"/>
      <c r="C151" s="20"/>
      <c r="D151" s="20"/>
      <c r="E151" s="15"/>
      <c r="G151" s="20"/>
      <c r="H151" s="20"/>
      <c r="I151" s="26" t="s">
        <v>8</v>
      </c>
      <c r="J151" s="6">
        <f>(F150+J150)/2</f>
        <v>20.100000000000001</v>
      </c>
      <c r="K151" s="20"/>
      <c r="L151" s="20"/>
      <c r="M151" s="15"/>
      <c r="O151" s="20"/>
      <c r="P151" s="20"/>
      <c r="Q151" s="26" t="s">
        <v>8</v>
      </c>
      <c r="R151" s="6">
        <f>(N150+R150)/2</f>
        <v>45.433333333333337</v>
      </c>
      <c r="S151" s="20"/>
      <c r="T151" s="20"/>
      <c r="U151" s="15"/>
      <c r="W151" s="20"/>
      <c r="X151" s="20"/>
      <c r="Y151" s="26" t="s">
        <v>8</v>
      </c>
      <c r="Z151" s="6">
        <f>(V150+Z150)/2</f>
        <v>43.36666666666666</v>
      </c>
      <c r="AA151" s="20"/>
      <c r="AB151" s="20"/>
      <c r="AC151" s="15"/>
      <c r="AE151" s="20"/>
      <c r="AF151" s="20"/>
      <c r="AG151" s="26" t="s">
        <v>8</v>
      </c>
      <c r="AH151" s="6">
        <f>(AD150+AH150)/2</f>
        <v>60.55</v>
      </c>
      <c r="AI151" s="20"/>
      <c r="AJ151" s="20"/>
      <c r="AK151" s="15"/>
      <c r="AM151" s="20"/>
      <c r="AN151" s="20"/>
      <c r="AO151" s="26" t="s">
        <v>8</v>
      </c>
      <c r="AP151" s="6">
        <f>(AL150+AP150)/2</f>
        <v>51.9</v>
      </c>
      <c r="AQ151" s="20"/>
      <c r="AR151" s="20"/>
      <c r="AS151" s="15"/>
      <c r="AU151" s="20"/>
      <c r="AV151" s="20"/>
      <c r="AW151" s="26" t="s">
        <v>8</v>
      </c>
      <c r="AX151" s="6">
        <f>(AT150+AX150)/2</f>
        <v>49.533333333333331</v>
      </c>
      <c r="AY151" s="20"/>
      <c r="AZ151" s="20"/>
      <c r="BA151" s="15"/>
      <c r="BC151" s="20"/>
      <c r="BD151" s="20"/>
      <c r="BE151" s="26" t="s">
        <v>8</v>
      </c>
      <c r="BF151" s="6">
        <f>(BB150+BF150)/2</f>
        <v>50.216666666666669</v>
      </c>
    </row>
    <row r="152" spans="1:58" x14ac:dyDescent="0.2">
      <c r="B152" s="8"/>
      <c r="C152" s="20"/>
      <c r="D152" s="20"/>
      <c r="E152" s="15"/>
      <c r="G152" s="20"/>
      <c r="H152" s="20"/>
      <c r="I152" s="26"/>
      <c r="J152" s="6"/>
      <c r="K152" s="20"/>
      <c r="L152" s="20"/>
      <c r="M152" s="15"/>
      <c r="O152" s="20"/>
      <c r="P152" s="20"/>
      <c r="Q152" s="26"/>
      <c r="R152" s="6"/>
      <c r="S152" s="20"/>
      <c r="T152" s="20"/>
      <c r="U152" s="15"/>
      <c r="W152" s="20"/>
      <c r="X152" s="20"/>
      <c r="Y152" s="26"/>
      <c r="Z152" s="6"/>
      <c r="AA152" s="20"/>
      <c r="AB152" s="20"/>
      <c r="AC152" s="15"/>
      <c r="AE152" s="20"/>
      <c r="AF152" s="20"/>
      <c r="AG152" s="26"/>
      <c r="AH152" s="6"/>
      <c r="AI152" s="20"/>
      <c r="AJ152" s="20"/>
      <c r="AK152" s="15"/>
      <c r="AM152" s="20"/>
      <c r="AN152" s="20"/>
      <c r="AO152" s="26"/>
      <c r="AP152" s="6"/>
      <c r="AQ152" s="20"/>
      <c r="AR152" s="20"/>
      <c r="AS152" s="15"/>
      <c r="AU152" s="20"/>
      <c r="AV152" s="20"/>
      <c r="AW152" s="26"/>
      <c r="AX152" s="6"/>
      <c r="AY152" s="20"/>
      <c r="AZ152" s="20"/>
      <c r="BA152" s="15"/>
      <c r="BC152" s="20"/>
      <c r="BD152" s="20"/>
      <c r="BE152" s="26"/>
      <c r="BF152" s="6"/>
    </row>
    <row r="153" spans="1:58" x14ac:dyDescent="0.2">
      <c r="B153" s="8"/>
      <c r="E153" s="3" t="s">
        <v>263</v>
      </c>
      <c r="F153" s="21"/>
      <c r="I153" s="3" t="s">
        <v>264</v>
      </c>
      <c r="J153" s="6"/>
      <c r="M153" s="3" t="s">
        <v>232</v>
      </c>
      <c r="N153" s="21"/>
      <c r="Q153" s="3" t="s">
        <v>233</v>
      </c>
      <c r="R153" s="6"/>
      <c r="U153" s="3" t="s">
        <v>225</v>
      </c>
      <c r="V153" s="21"/>
      <c r="Y153" s="3" t="s">
        <v>226</v>
      </c>
      <c r="Z153" s="6"/>
      <c r="AC153" s="3" t="s">
        <v>221</v>
      </c>
      <c r="AD153" s="21"/>
      <c r="AG153" s="3" t="s">
        <v>222</v>
      </c>
      <c r="AH153" s="6"/>
      <c r="AK153" s="3" t="s">
        <v>215</v>
      </c>
      <c r="AL153" s="21"/>
      <c r="AO153" s="3" t="s">
        <v>216</v>
      </c>
      <c r="AP153" s="6"/>
      <c r="AS153" s="3" t="s">
        <v>209</v>
      </c>
      <c r="AT153" s="21"/>
      <c r="AW153" s="3" t="s">
        <v>210</v>
      </c>
      <c r="AX153" s="6"/>
      <c r="BA153" s="3" t="s">
        <v>205</v>
      </c>
      <c r="BB153" s="21"/>
      <c r="BE153" s="3" t="s">
        <v>206</v>
      </c>
      <c r="BF153" s="6"/>
    </row>
    <row r="154" spans="1:58" x14ac:dyDescent="0.2">
      <c r="B154" s="4" t="s">
        <v>252</v>
      </c>
      <c r="C154" s="2" t="s">
        <v>0</v>
      </c>
      <c r="D154" s="2" t="s">
        <v>1</v>
      </c>
      <c r="E154" s="7" t="s">
        <v>5</v>
      </c>
      <c r="F154" s="6" t="s">
        <v>6</v>
      </c>
      <c r="G154" s="2" t="s">
        <v>0</v>
      </c>
      <c r="H154" s="2" t="s">
        <v>1</v>
      </c>
      <c r="I154" s="7" t="s">
        <v>5</v>
      </c>
      <c r="J154" s="6" t="s">
        <v>6</v>
      </c>
      <c r="K154" s="2" t="s">
        <v>0</v>
      </c>
      <c r="L154" s="2" t="s">
        <v>1</v>
      </c>
      <c r="M154" s="7" t="s">
        <v>5</v>
      </c>
      <c r="N154" s="6" t="s">
        <v>6</v>
      </c>
      <c r="O154" s="2" t="s">
        <v>0</v>
      </c>
      <c r="P154" s="2" t="s">
        <v>1</v>
      </c>
      <c r="Q154" s="7" t="s">
        <v>5</v>
      </c>
      <c r="R154" s="6" t="s">
        <v>6</v>
      </c>
      <c r="S154" s="2" t="s">
        <v>0</v>
      </c>
      <c r="T154" s="2" t="s">
        <v>1</v>
      </c>
      <c r="U154" s="7" t="s">
        <v>5</v>
      </c>
      <c r="V154" s="6" t="s">
        <v>6</v>
      </c>
      <c r="W154" s="2" t="s">
        <v>0</v>
      </c>
      <c r="X154" s="2" t="s">
        <v>1</v>
      </c>
      <c r="Y154" s="7" t="s">
        <v>5</v>
      </c>
      <c r="Z154" s="6" t="s">
        <v>6</v>
      </c>
      <c r="AA154" s="2" t="s">
        <v>0</v>
      </c>
      <c r="AB154" s="2" t="s">
        <v>1</v>
      </c>
      <c r="AC154" s="7" t="s">
        <v>5</v>
      </c>
      <c r="AD154" s="6" t="s">
        <v>6</v>
      </c>
      <c r="AE154" s="2" t="s">
        <v>0</v>
      </c>
      <c r="AF154" s="2" t="s">
        <v>1</v>
      </c>
      <c r="AG154" s="7" t="s">
        <v>5</v>
      </c>
      <c r="AH154" s="6" t="s">
        <v>6</v>
      </c>
      <c r="AI154" s="2" t="s">
        <v>0</v>
      </c>
      <c r="AJ154" s="2" t="s">
        <v>1</v>
      </c>
      <c r="AK154" s="7" t="s">
        <v>5</v>
      </c>
      <c r="AL154" s="6" t="s">
        <v>6</v>
      </c>
      <c r="AM154" s="2" t="s">
        <v>0</v>
      </c>
      <c r="AN154" s="2" t="s">
        <v>1</v>
      </c>
      <c r="AO154" s="7" t="s">
        <v>5</v>
      </c>
      <c r="AP154" s="6" t="s">
        <v>6</v>
      </c>
      <c r="AQ154" s="2" t="s">
        <v>0</v>
      </c>
      <c r="AR154" s="2" t="s">
        <v>1</v>
      </c>
      <c r="AS154" s="7" t="s">
        <v>5</v>
      </c>
      <c r="AT154" s="6" t="s">
        <v>6</v>
      </c>
      <c r="AU154" s="2" t="s">
        <v>0</v>
      </c>
      <c r="AV154" s="2" t="s">
        <v>1</v>
      </c>
      <c r="AW154" s="7" t="s">
        <v>5</v>
      </c>
      <c r="AX154" s="6" t="s">
        <v>6</v>
      </c>
      <c r="AY154" s="2" t="s">
        <v>0</v>
      </c>
      <c r="AZ154" s="2" t="s">
        <v>1</v>
      </c>
      <c r="BA154" s="7" t="s">
        <v>5</v>
      </c>
      <c r="BB154" s="6" t="s">
        <v>6</v>
      </c>
      <c r="BC154" s="2" t="s">
        <v>0</v>
      </c>
      <c r="BD154" s="2" t="s">
        <v>1</v>
      </c>
      <c r="BE154" s="7" t="s">
        <v>5</v>
      </c>
      <c r="BF154" s="6" t="s">
        <v>6</v>
      </c>
    </row>
    <row r="155" spans="1:58" x14ac:dyDescent="0.2">
      <c r="A155" s="36" t="s">
        <v>102</v>
      </c>
      <c r="B155" s="8" t="s">
        <v>121</v>
      </c>
      <c r="C155" s="2">
        <v>140</v>
      </c>
      <c r="D155" s="2">
        <v>42</v>
      </c>
      <c r="E155" s="3">
        <f t="shared" ref="E155:E161" si="110">SUM(C155:D155)</f>
        <v>182</v>
      </c>
      <c r="F155" s="6">
        <v>155.6</v>
      </c>
      <c r="G155" s="10"/>
      <c r="H155" s="10"/>
      <c r="I155" s="3">
        <f t="shared" ref="I155:I161" si="111">SUM(G155:H155)</f>
        <v>0</v>
      </c>
      <c r="J155" s="23"/>
      <c r="K155" s="2">
        <v>128</v>
      </c>
      <c r="L155" s="2">
        <v>43</v>
      </c>
      <c r="M155" s="3">
        <f t="shared" ref="M155:M164" si="112">SUM(K155:L155)</f>
        <v>171</v>
      </c>
      <c r="N155" s="6">
        <f>2143.5/15</f>
        <v>142.9</v>
      </c>
      <c r="O155" s="10">
        <v>107</v>
      </c>
      <c r="P155" s="10">
        <v>42</v>
      </c>
      <c r="Q155" s="3">
        <f t="shared" ref="Q155:Q161" si="113">SUM(O155:P155)</f>
        <v>149</v>
      </c>
      <c r="R155" s="23">
        <v>121.2</v>
      </c>
      <c r="S155" s="2">
        <v>140</v>
      </c>
      <c r="T155" s="2">
        <v>46</v>
      </c>
      <c r="U155" s="3">
        <f t="shared" ref="U155:U164" si="114">SUM(S155:T155)</f>
        <v>186</v>
      </c>
      <c r="V155" s="6">
        <f>2286.5/15</f>
        <v>152.43333333333334</v>
      </c>
      <c r="W155" s="10">
        <v>121</v>
      </c>
      <c r="X155" s="10">
        <v>41</v>
      </c>
      <c r="Y155" s="3">
        <f t="shared" ref="Y155:Y164" si="115">SUM(W155:X155)</f>
        <v>162</v>
      </c>
      <c r="Z155" s="23">
        <f>1999.5/15</f>
        <v>133.30000000000001</v>
      </c>
      <c r="AA155" s="2">
        <v>169</v>
      </c>
      <c r="AB155" s="2">
        <v>53</v>
      </c>
      <c r="AC155" s="3">
        <f>SUM(AA155:AB155)</f>
        <v>222</v>
      </c>
      <c r="AD155" s="6">
        <f>2748.5/15</f>
        <v>183.23333333333332</v>
      </c>
      <c r="AE155" s="10">
        <v>145</v>
      </c>
      <c r="AF155" s="10">
        <v>54</v>
      </c>
      <c r="AG155" s="3">
        <f>SUM(AE155:AF155)</f>
        <v>199</v>
      </c>
      <c r="AH155" s="23">
        <f>2454.5/15</f>
        <v>163.63333333333333</v>
      </c>
      <c r="AI155" s="2">
        <v>200</v>
      </c>
      <c r="AJ155" s="2">
        <v>60</v>
      </c>
      <c r="AK155" s="3">
        <f>SUM(AI155:AJ155)</f>
        <v>260</v>
      </c>
      <c r="AL155" s="6">
        <f>3239/15</f>
        <v>215.93333333333334</v>
      </c>
      <c r="AM155" s="10">
        <v>179</v>
      </c>
      <c r="AN155" s="10">
        <v>56</v>
      </c>
      <c r="AO155" s="3">
        <f>SUM(AM155:AN155)</f>
        <v>235</v>
      </c>
      <c r="AP155" s="23">
        <f>2884.5/15</f>
        <v>192.3</v>
      </c>
      <c r="AQ155" s="2">
        <v>176</v>
      </c>
      <c r="AR155" s="2">
        <v>59</v>
      </c>
      <c r="AS155" s="3">
        <f>SUM(AQ155:AR155)</f>
        <v>235</v>
      </c>
      <c r="AT155" s="6">
        <f>2909/15</f>
        <v>193.93333333333334</v>
      </c>
      <c r="AU155" s="10">
        <v>176</v>
      </c>
      <c r="AV155" s="10">
        <v>68</v>
      </c>
      <c r="AW155" s="3">
        <f>SUM(AU155:AV155)</f>
        <v>244</v>
      </c>
      <c r="AX155" s="23">
        <f>2988.5/15</f>
        <v>199.23333333333332</v>
      </c>
      <c r="AY155" s="2">
        <v>181</v>
      </c>
      <c r="AZ155" s="2">
        <v>73</v>
      </c>
      <c r="BA155" s="3">
        <f>SUM(AY155:AZ155)</f>
        <v>254</v>
      </c>
      <c r="BB155" s="6">
        <f>3060.5/15</f>
        <v>204.03333333333333</v>
      </c>
      <c r="BC155" s="10">
        <v>175</v>
      </c>
      <c r="BD155" s="10">
        <v>59</v>
      </c>
      <c r="BE155" s="3">
        <f>SUM(BC155:BD155)</f>
        <v>234</v>
      </c>
      <c r="BF155" s="23">
        <f>2914.5/15</f>
        <v>194.3</v>
      </c>
    </row>
    <row r="156" spans="1:58" x14ac:dyDescent="0.2">
      <c r="A156" s="36" t="s">
        <v>97</v>
      </c>
      <c r="B156" s="8" t="s">
        <v>117</v>
      </c>
      <c r="C156" s="2">
        <v>55</v>
      </c>
      <c r="D156" s="2">
        <v>12</v>
      </c>
      <c r="E156" s="3">
        <f t="shared" si="110"/>
        <v>67</v>
      </c>
      <c r="F156" s="6">
        <v>58</v>
      </c>
      <c r="G156" s="10"/>
      <c r="H156" s="10"/>
      <c r="I156" s="3">
        <f t="shared" si="111"/>
        <v>0</v>
      </c>
      <c r="J156" s="23"/>
      <c r="K156" s="2">
        <v>58</v>
      </c>
      <c r="L156" s="2">
        <v>12</v>
      </c>
      <c r="M156" s="3">
        <f t="shared" si="112"/>
        <v>70</v>
      </c>
      <c r="N156" s="6">
        <f>874.5/15</f>
        <v>58.3</v>
      </c>
      <c r="O156" s="10">
        <v>49</v>
      </c>
      <c r="P156" s="10">
        <v>12</v>
      </c>
      <c r="Q156" s="3">
        <f t="shared" si="113"/>
        <v>61</v>
      </c>
      <c r="R156" s="23">
        <v>52.2</v>
      </c>
      <c r="S156" s="2">
        <v>67</v>
      </c>
      <c r="T156" s="2">
        <v>19</v>
      </c>
      <c r="U156" s="3">
        <f t="shared" si="114"/>
        <v>86</v>
      </c>
      <c r="V156" s="6">
        <f>1087/15</f>
        <v>72.466666666666669</v>
      </c>
      <c r="W156" s="10">
        <v>53</v>
      </c>
      <c r="X156" s="10">
        <v>20</v>
      </c>
      <c r="Y156" s="3">
        <f t="shared" si="115"/>
        <v>73</v>
      </c>
      <c r="Z156" s="23">
        <f>877/15</f>
        <v>58.466666666666669</v>
      </c>
      <c r="AA156" s="2">
        <v>78</v>
      </c>
      <c r="AB156" s="2">
        <v>28</v>
      </c>
      <c r="AC156" s="3">
        <f>SUM(AA156:AB156)</f>
        <v>106</v>
      </c>
      <c r="AD156" s="6">
        <f>1291.5/15</f>
        <v>86.1</v>
      </c>
      <c r="AE156" s="10">
        <v>71</v>
      </c>
      <c r="AF156" s="10">
        <v>21</v>
      </c>
      <c r="AG156" s="3">
        <f>SUM(AE156:AF156)</f>
        <v>92</v>
      </c>
      <c r="AH156" s="23">
        <f>1112.5/15</f>
        <v>74.166666666666671</v>
      </c>
      <c r="AI156" s="2">
        <v>78</v>
      </c>
      <c r="AJ156" s="2">
        <v>24</v>
      </c>
      <c r="AK156" s="3">
        <f>SUM(AI156:AJ156)</f>
        <v>102</v>
      </c>
      <c r="AL156" s="6">
        <f>1274/15</f>
        <v>84.933333333333337</v>
      </c>
      <c r="AM156" s="10">
        <v>77</v>
      </c>
      <c r="AN156" s="10">
        <v>21</v>
      </c>
      <c r="AO156" s="3">
        <f>SUM(AM156:AN156)</f>
        <v>98</v>
      </c>
      <c r="AP156" s="23">
        <f>1272.5/15</f>
        <v>84.833333333333329</v>
      </c>
      <c r="AQ156" s="2">
        <v>96</v>
      </c>
      <c r="AR156" s="2">
        <v>23</v>
      </c>
      <c r="AS156" s="3">
        <f>SUM(AQ156:AR156)</f>
        <v>119</v>
      </c>
      <c r="AT156" s="6">
        <f>1477.5/15</f>
        <v>98.5</v>
      </c>
      <c r="AU156" s="10">
        <v>94</v>
      </c>
      <c r="AV156" s="10">
        <v>29</v>
      </c>
      <c r="AW156" s="3">
        <f>SUM(AU156:AV156)</f>
        <v>123</v>
      </c>
      <c r="AX156" s="23">
        <f>1488.5/15</f>
        <v>99.233333333333334</v>
      </c>
      <c r="AY156" s="2">
        <v>90</v>
      </c>
      <c r="AZ156" s="2">
        <v>27</v>
      </c>
      <c r="BA156" s="3">
        <f>SUM(AY156:AZ156)</f>
        <v>117</v>
      </c>
      <c r="BB156" s="6">
        <f>1444.5/15</f>
        <v>96.3</v>
      </c>
      <c r="BC156" s="10">
        <v>92</v>
      </c>
      <c r="BD156" s="10">
        <v>27</v>
      </c>
      <c r="BE156" s="3">
        <f>SUM(BC156:BD156)</f>
        <v>119</v>
      </c>
      <c r="BF156" s="23">
        <f>1448.5/15</f>
        <v>96.566666666666663</v>
      </c>
    </row>
    <row r="157" spans="1:58" s="8" customFormat="1" x14ac:dyDescent="0.2">
      <c r="A157" s="37" t="s">
        <v>108</v>
      </c>
      <c r="B157" s="8" t="s">
        <v>127</v>
      </c>
      <c r="C157" s="5">
        <v>121</v>
      </c>
      <c r="D157" s="5">
        <v>19</v>
      </c>
      <c r="E157" s="7">
        <f t="shared" si="110"/>
        <v>140</v>
      </c>
      <c r="F157" s="6">
        <v>128.1</v>
      </c>
      <c r="G157" s="5"/>
      <c r="H157" s="5"/>
      <c r="I157" s="7">
        <f t="shared" si="111"/>
        <v>0</v>
      </c>
      <c r="J157" s="23"/>
      <c r="K157" s="5">
        <v>114</v>
      </c>
      <c r="L157" s="5">
        <v>22</v>
      </c>
      <c r="M157" s="7">
        <f t="shared" si="112"/>
        <v>136</v>
      </c>
      <c r="N157" s="6">
        <f>1890/15</f>
        <v>126</v>
      </c>
      <c r="O157" s="5">
        <v>92</v>
      </c>
      <c r="P157" s="5">
        <v>21</v>
      </c>
      <c r="Q157" s="7">
        <f t="shared" si="113"/>
        <v>113</v>
      </c>
      <c r="R157" s="23">
        <v>101.7</v>
      </c>
      <c r="S157" s="5">
        <v>134</v>
      </c>
      <c r="T157" s="5">
        <v>19</v>
      </c>
      <c r="U157" s="7">
        <f t="shared" si="114"/>
        <v>153</v>
      </c>
      <c r="V157" s="6">
        <f>2126/15</f>
        <v>141.73333333333332</v>
      </c>
      <c r="W157" s="5">
        <v>112</v>
      </c>
      <c r="X157" s="5">
        <v>20</v>
      </c>
      <c r="Y157" s="7">
        <f t="shared" si="115"/>
        <v>132</v>
      </c>
      <c r="Z157" s="23">
        <f>1806.5/15</f>
        <v>120.43333333333334</v>
      </c>
      <c r="AA157" s="5">
        <v>147</v>
      </c>
      <c r="AB157" s="5">
        <v>30</v>
      </c>
      <c r="AC157" s="7">
        <f>SUM(AA157:AB157)</f>
        <v>177</v>
      </c>
      <c r="AD157" s="6">
        <f>2389/15</f>
        <v>159.26666666666668</v>
      </c>
      <c r="AE157" s="5">
        <v>115</v>
      </c>
      <c r="AF157" s="5">
        <v>20</v>
      </c>
      <c r="AG157" s="7">
        <f>SUM(AE157:AF157)</f>
        <v>135</v>
      </c>
      <c r="AH157" s="23">
        <f>1832/15</f>
        <v>122.13333333333334</v>
      </c>
      <c r="AI157" s="5">
        <v>178</v>
      </c>
      <c r="AJ157" s="5">
        <v>22</v>
      </c>
      <c r="AK157" s="7">
        <f>SUM(AI157:AJ157)</f>
        <v>200</v>
      </c>
      <c r="AL157" s="6">
        <f>2814/15</f>
        <v>187.6</v>
      </c>
      <c r="AM157" s="5">
        <v>149</v>
      </c>
      <c r="AN157" s="5">
        <v>38</v>
      </c>
      <c r="AO157" s="7">
        <f>SUM(AM157:AN157)</f>
        <v>187</v>
      </c>
      <c r="AP157" s="23">
        <f>2432.5/15</f>
        <v>162.16666666666666</v>
      </c>
      <c r="AQ157" s="5">
        <v>170</v>
      </c>
      <c r="AR157" s="5">
        <v>26</v>
      </c>
      <c r="AS157" s="7">
        <f>SUM(AQ157:AR157)</f>
        <v>196</v>
      </c>
      <c r="AT157" s="6">
        <f>2756.5/15</f>
        <v>183.76666666666668</v>
      </c>
      <c r="AU157" s="5">
        <v>170</v>
      </c>
      <c r="AV157" s="5">
        <v>31</v>
      </c>
      <c r="AW157" s="7">
        <f>SUM(AU157:AV157)</f>
        <v>201</v>
      </c>
      <c r="AX157" s="23">
        <f>2763.5/15</f>
        <v>184.23333333333332</v>
      </c>
      <c r="AY157" s="5">
        <v>177</v>
      </c>
      <c r="AZ157" s="5">
        <v>20</v>
      </c>
      <c r="BA157" s="7">
        <f>SUM(AY157:AZ157)</f>
        <v>197</v>
      </c>
      <c r="BB157" s="6">
        <f>2773/15</f>
        <v>184.86666666666667</v>
      </c>
      <c r="BC157" s="5">
        <v>171</v>
      </c>
      <c r="BD157" s="5">
        <v>25</v>
      </c>
      <c r="BE157" s="7">
        <f>SUM(BC157:BD157)</f>
        <v>196</v>
      </c>
      <c r="BF157" s="23">
        <f>2721/15</f>
        <v>181.4</v>
      </c>
    </row>
    <row r="158" spans="1:58" x14ac:dyDescent="0.2">
      <c r="A158" s="36" t="s">
        <v>18</v>
      </c>
      <c r="B158" s="8" t="s">
        <v>43</v>
      </c>
      <c r="C158" s="5">
        <v>136</v>
      </c>
      <c r="D158" s="5">
        <v>23</v>
      </c>
      <c r="E158" s="3">
        <f t="shared" si="110"/>
        <v>159</v>
      </c>
      <c r="F158" s="6">
        <v>151.5</v>
      </c>
      <c r="G158" s="10"/>
      <c r="H158" s="10"/>
      <c r="I158" s="3">
        <f t="shared" si="111"/>
        <v>0</v>
      </c>
      <c r="J158" s="23"/>
      <c r="K158" s="5">
        <v>123</v>
      </c>
      <c r="L158" s="5">
        <v>20</v>
      </c>
      <c r="M158" s="3">
        <f t="shared" si="112"/>
        <v>143</v>
      </c>
      <c r="N158" s="6">
        <f>1989.5/15</f>
        <v>132.63333333333333</v>
      </c>
      <c r="O158" s="10">
        <v>101</v>
      </c>
      <c r="P158" s="10">
        <v>25</v>
      </c>
      <c r="Q158" s="3">
        <f t="shared" si="113"/>
        <v>126</v>
      </c>
      <c r="R158" s="23">
        <v>111.8</v>
      </c>
      <c r="S158" s="5">
        <v>136</v>
      </c>
      <c r="T158" s="5">
        <v>36</v>
      </c>
      <c r="U158" s="3">
        <f t="shared" si="114"/>
        <v>172</v>
      </c>
      <c r="V158" s="6">
        <f>2295/15</f>
        <v>153</v>
      </c>
      <c r="W158" s="10">
        <v>114</v>
      </c>
      <c r="X158" s="10">
        <v>21</v>
      </c>
      <c r="Y158" s="3">
        <f t="shared" si="115"/>
        <v>135</v>
      </c>
      <c r="Z158" s="23">
        <f>1852/15</f>
        <v>123.46666666666667</v>
      </c>
      <c r="AA158" s="5">
        <v>181</v>
      </c>
      <c r="AB158" s="5">
        <v>42</v>
      </c>
      <c r="AC158" s="3">
        <f>SUM(AA158:AB158)</f>
        <v>223</v>
      </c>
      <c r="AD158" s="6">
        <f>3009.5/15</f>
        <v>200.63333333333333</v>
      </c>
      <c r="AE158" s="10">
        <v>160</v>
      </c>
      <c r="AF158" s="10">
        <v>45</v>
      </c>
      <c r="AG158" s="3">
        <f>SUM(AE158:AF158)</f>
        <v>205</v>
      </c>
      <c r="AH158" s="23">
        <f>2645/15</f>
        <v>176.33333333333334</v>
      </c>
      <c r="AI158" s="5">
        <v>229</v>
      </c>
      <c r="AJ158" s="5">
        <v>36</v>
      </c>
      <c r="AK158" s="3">
        <f>SUM(AI158:AJ158)</f>
        <v>265</v>
      </c>
      <c r="AL158" s="6">
        <f>3622.5/15</f>
        <v>241.5</v>
      </c>
      <c r="AM158" s="10">
        <v>177</v>
      </c>
      <c r="AN158" s="10">
        <v>41</v>
      </c>
      <c r="AO158" s="3">
        <f>SUM(AM158:AN158)</f>
        <v>218</v>
      </c>
      <c r="AP158" s="23">
        <f>2912/15</f>
        <v>194.13333333333333</v>
      </c>
      <c r="AQ158" s="5">
        <v>311</v>
      </c>
      <c r="AR158" s="5">
        <v>54</v>
      </c>
      <c r="AS158" s="3">
        <f>SUM(AQ158:AR158)</f>
        <v>365</v>
      </c>
      <c r="AT158" s="6">
        <f>4995.5/15</f>
        <v>333.03333333333336</v>
      </c>
      <c r="AU158" s="10">
        <v>270</v>
      </c>
      <c r="AV158" s="10">
        <v>50</v>
      </c>
      <c r="AW158" s="3">
        <f>SUM(AU158:AV158)</f>
        <v>320</v>
      </c>
      <c r="AX158" s="23">
        <f>4287/15</f>
        <v>285.8</v>
      </c>
      <c r="AY158" s="5">
        <v>399</v>
      </c>
      <c r="AZ158" s="5">
        <v>43</v>
      </c>
      <c r="BA158" s="3">
        <f>SUM(AY158:AZ158)</f>
        <v>442</v>
      </c>
      <c r="BB158" s="6">
        <f>(6233.5)/15</f>
        <v>415.56666666666666</v>
      </c>
      <c r="BC158" s="10">
        <v>312</v>
      </c>
      <c r="BD158" s="10">
        <v>61</v>
      </c>
      <c r="BE158" s="3">
        <f>SUM(BC158:BD158)</f>
        <v>373</v>
      </c>
      <c r="BF158" s="23">
        <f>4980.5/15</f>
        <v>332.03333333333336</v>
      </c>
    </row>
    <row r="159" spans="1:58" x14ac:dyDescent="0.2">
      <c r="A159" s="36" t="s">
        <v>213</v>
      </c>
      <c r="B159" s="9" t="s">
        <v>214</v>
      </c>
      <c r="C159" s="5">
        <v>83</v>
      </c>
      <c r="D159" s="5">
        <v>6</v>
      </c>
      <c r="E159" s="3">
        <f t="shared" si="110"/>
        <v>89</v>
      </c>
      <c r="F159" s="6">
        <v>88.8</v>
      </c>
      <c r="G159" s="10"/>
      <c r="H159" s="10"/>
      <c r="I159" s="3">
        <f t="shared" si="111"/>
        <v>0</v>
      </c>
      <c r="J159" s="23"/>
      <c r="K159" s="5">
        <v>66</v>
      </c>
      <c r="L159" s="5">
        <v>4</v>
      </c>
      <c r="M159" s="3">
        <f t="shared" si="112"/>
        <v>70</v>
      </c>
      <c r="N159" s="6">
        <f>1047/15</f>
        <v>69.8</v>
      </c>
      <c r="O159" s="10">
        <v>69</v>
      </c>
      <c r="P159" s="10">
        <v>8</v>
      </c>
      <c r="Q159" s="3">
        <f t="shared" si="113"/>
        <v>77</v>
      </c>
      <c r="R159" s="23">
        <v>73.7</v>
      </c>
      <c r="S159" s="5">
        <v>80</v>
      </c>
      <c r="T159" s="5">
        <v>8</v>
      </c>
      <c r="U159" s="3">
        <f t="shared" si="114"/>
        <v>88</v>
      </c>
      <c r="V159" s="6">
        <f>1264/15</f>
        <v>84.266666666666666</v>
      </c>
      <c r="W159" s="10">
        <v>65</v>
      </c>
      <c r="X159" s="10">
        <v>7</v>
      </c>
      <c r="Y159" s="3">
        <f t="shared" si="115"/>
        <v>72</v>
      </c>
      <c r="Z159" s="23">
        <f>1064/15</f>
        <v>70.933333333333337</v>
      </c>
      <c r="AA159" s="5">
        <v>100</v>
      </c>
      <c r="AB159" s="5">
        <v>6</v>
      </c>
      <c r="AC159" s="3">
        <f>SUM(AA159:AB159)</f>
        <v>106</v>
      </c>
      <c r="AD159" s="6">
        <f>1603.5/15</f>
        <v>106.9</v>
      </c>
      <c r="AE159" s="10">
        <v>90</v>
      </c>
      <c r="AF159" s="10">
        <v>3</v>
      </c>
      <c r="AG159" s="3">
        <f>SUM(AE159:AF159)</f>
        <v>93</v>
      </c>
      <c r="AH159" s="23">
        <f>1405.5/15</f>
        <v>93.7</v>
      </c>
      <c r="AI159" s="5">
        <v>85</v>
      </c>
      <c r="AJ159" s="5">
        <v>3</v>
      </c>
      <c r="AK159" s="3">
        <f>SUM(AI159:AJ159)</f>
        <v>88</v>
      </c>
      <c r="AL159" s="6">
        <f>1292/15</f>
        <v>86.13333333333334</v>
      </c>
      <c r="AM159" s="10">
        <v>88</v>
      </c>
      <c r="AN159" s="10">
        <v>3</v>
      </c>
      <c r="AO159" s="3">
        <f>SUM(AM159:AN159)</f>
        <v>91</v>
      </c>
      <c r="AP159" s="23">
        <f>1379/15</f>
        <v>91.933333333333337</v>
      </c>
      <c r="AQ159" s="5">
        <v>8</v>
      </c>
      <c r="AR159" s="5">
        <v>1</v>
      </c>
      <c r="AS159" s="3">
        <f>SUM(AQ159:AR159)</f>
        <v>9</v>
      </c>
      <c r="AT159" s="6">
        <f>133.5/15</f>
        <v>8.9</v>
      </c>
      <c r="AU159" s="10">
        <v>26</v>
      </c>
      <c r="AV159" s="10">
        <v>3</v>
      </c>
      <c r="AW159" s="3">
        <f>SUM(AU159:AV159)</f>
        <v>29</v>
      </c>
      <c r="AX159" s="23">
        <f>405.5/15</f>
        <v>27.033333333333335</v>
      </c>
      <c r="AY159" s="29"/>
      <c r="AZ159" s="29"/>
      <c r="BA159" s="34"/>
      <c r="BB159" s="31"/>
      <c r="BC159" s="29"/>
      <c r="BD159" s="29"/>
      <c r="BE159" s="34"/>
      <c r="BF159" s="33"/>
    </row>
    <row r="160" spans="1:58" x14ac:dyDescent="0.2">
      <c r="A160" s="36" t="s">
        <v>227</v>
      </c>
      <c r="B160" s="9" t="s">
        <v>228</v>
      </c>
      <c r="C160" s="5">
        <v>10</v>
      </c>
      <c r="D160" s="5">
        <v>3</v>
      </c>
      <c r="E160" s="3">
        <f t="shared" si="110"/>
        <v>13</v>
      </c>
      <c r="F160" s="6">
        <v>13.1</v>
      </c>
      <c r="G160" s="10"/>
      <c r="H160" s="10"/>
      <c r="I160" s="3">
        <f t="shared" si="111"/>
        <v>0</v>
      </c>
      <c r="J160" s="23"/>
      <c r="K160" s="5">
        <v>8</v>
      </c>
      <c r="L160" s="5">
        <v>3</v>
      </c>
      <c r="M160" s="3">
        <f t="shared" si="112"/>
        <v>11</v>
      </c>
      <c r="N160" s="6">
        <f>142.5/15</f>
        <v>9.5</v>
      </c>
      <c r="O160" s="10">
        <v>5</v>
      </c>
      <c r="P160" s="10">
        <v>5</v>
      </c>
      <c r="Q160" s="3">
        <f t="shared" si="113"/>
        <v>10</v>
      </c>
      <c r="R160" s="23">
        <v>7.3</v>
      </c>
      <c r="S160" s="5">
        <v>3</v>
      </c>
      <c r="T160" s="5">
        <v>0</v>
      </c>
      <c r="U160" s="3">
        <f t="shared" si="114"/>
        <v>3</v>
      </c>
      <c r="V160" s="6">
        <f>46.5/15</f>
        <v>3.1</v>
      </c>
      <c r="W160" s="10">
        <v>13</v>
      </c>
      <c r="X160" s="10">
        <v>0</v>
      </c>
      <c r="Y160" s="3">
        <f t="shared" si="115"/>
        <v>13</v>
      </c>
      <c r="Z160" s="23">
        <f>186/15</f>
        <v>12.4</v>
      </c>
      <c r="AA160" s="32"/>
      <c r="AB160" s="32"/>
      <c r="AC160" s="34"/>
      <c r="AD160" s="31"/>
      <c r="AE160" s="29"/>
      <c r="AF160" s="29"/>
      <c r="AG160" s="34"/>
      <c r="AH160" s="33"/>
      <c r="AI160" s="32"/>
      <c r="AJ160" s="32"/>
      <c r="AK160" s="34"/>
      <c r="AL160" s="31"/>
      <c r="AM160" s="29"/>
      <c r="AN160" s="29"/>
      <c r="AO160" s="34"/>
      <c r="AP160" s="33"/>
      <c r="AQ160" s="32"/>
      <c r="AR160" s="32"/>
      <c r="AS160" s="34"/>
      <c r="AT160" s="31"/>
      <c r="AU160" s="29"/>
      <c r="AV160" s="29"/>
      <c r="AW160" s="34"/>
      <c r="AX160" s="33"/>
      <c r="AY160" s="29"/>
      <c r="AZ160" s="29"/>
      <c r="BA160" s="34"/>
      <c r="BB160" s="31"/>
      <c r="BC160" s="29"/>
      <c r="BD160" s="29"/>
      <c r="BE160" s="34"/>
      <c r="BF160" s="33"/>
    </row>
    <row r="161" spans="1:58" x14ac:dyDescent="0.2">
      <c r="A161" s="36" t="s">
        <v>219</v>
      </c>
      <c r="B161" s="9" t="s">
        <v>220</v>
      </c>
      <c r="C161" s="5">
        <v>8</v>
      </c>
      <c r="D161" s="5">
        <v>0</v>
      </c>
      <c r="E161" s="3">
        <f t="shared" si="110"/>
        <v>8</v>
      </c>
      <c r="F161" s="6">
        <v>9.9</v>
      </c>
      <c r="G161" s="10"/>
      <c r="H161" s="10"/>
      <c r="I161" s="3">
        <f t="shared" si="111"/>
        <v>0</v>
      </c>
      <c r="J161" s="23"/>
      <c r="K161" s="5">
        <v>22</v>
      </c>
      <c r="L161" s="5">
        <v>0</v>
      </c>
      <c r="M161" s="3">
        <f t="shared" si="112"/>
        <v>22</v>
      </c>
      <c r="N161" s="6">
        <f>407/15</f>
        <v>27.133333333333333</v>
      </c>
      <c r="O161" s="10">
        <v>19</v>
      </c>
      <c r="P161" s="10">
        <v>0</v>
      </c>
      <c r="Q161" s="3">
        <f t="shared" si="113"/>
        <v>19</v>
      </c>
      <c r="R161" s="23">
        <v>21</v>
      </c>
      <c r="S161" s="5">
        <v>23</v>
      </c>
      <c r="T161" s="5">
        <v>0</v>
      </c>
      <c r="U161" s="3">
        <f t="shared" si="114"/>
        <v>23</v>
      </c>
      <c r="V161" s="6">
        <f>428.5/15</f>
        <v>28.566666666666666</v>
      </c>
      <c r="W161" s="10">
        <v>18</v>
      </c>
      <c r="X161" s="10">
        <v>0</v>
      </c>
      <c r="Y161" s="3">
        <f t="shared" si="115"/>
        <v>18</v>
      </c>
      <c r="Z161" s="23">
        <f>291/15</f>
        <v>19.399999999999999</v>
      </c>
      <c r="AA161" s="5">
        <v>19</v>
      </c>
      <c r="AB161" s="5">
        <v>0</v>
      </c>
      <c r="AC161" s="3">
        <f>SUM(AA161:AB161)</f>
        <v>19</v>
      </c>
      <c r="AD161" s="6">
        <f>338.5/15</f>
        <v>22.566666666666666</v>
      </c>
      <c r="AE161" s="10">
        <v>32</v>
      </c>
      <c r="AF161" s="10">
        <v>0</v>
      </c>
      <c r="AG161" s="3">
        <f>SUM(AE161:AF161)</f>
        <v>32</v>
      </c>
      <c r="AH161" s="23">
        <f>537.5/15</f>
        <v>35.833333333333336</v>
      </c>
      <c r="AI161" s="5">
        <v>17</v>
      </c>
      <c r="AJ161" s="5">
        <v>2</v>
      </c>
      <c r="AK161" s="3">
        <f>SUM(AI161:AJ161)</f>
        <v>19</v>
      </c>
      <c r="AL161" s="6">
        <f>302/15</f>
        <v>20.133333333333333</v>
      </c>
      <c r="AM161" s="10">
        <v>17</v>
      </c>
      <c r="AN161" s="10">
        <v>0</v>
      </c>
      <c r="AO161" s="3">
        <f>SUM(AM161:AN161)</f>
        <v>17</v>
      </c>
      <c r="AP161" s="23">
        <f>293/15</f>
        <v>19.533333333333335</v>
      </c>
      <c r="AQ161" s="32"/>
      <c r="AR161" s="32"/>
      <c r="AS161" s="34"/>
      <c r="AT161" s="31"/>
      <c r="AU161" s="29"/>
      <c r="AV161" s="29"/>
      <c r="AW161" s="34"/>
      <c r="AX161" s="33"/>
      <c r="AY161" s="29"/>
      <c r="AZ161" s="29"/>
      <c r="BA161" s="34"/>
      <c r="BB161" s="31"/>
      <c r="BC161" s="29"/>
      <c r="BD161" s="29"/>
      <c r="BE161" s="34"/>
      <c r="BF161" s="33"/>
    </row>
    <row r="162" spans="1:58" x14ac:dyDescent="0.2">
      <c r="A162" s="36" t="s">
        <v>99</v>
      </c>
      <c r="B162" s="8" t="s">
        <v>119</v>
      </c>
      <c r="C162" s="2">
        <v>5</v>
      </c>
      <c r="D162" s="2">
        <v>2</v>
      </c>
      <c r="E162" s="3">
        <f>SUM(C162:D162)</f>
        <v>7</v>
      </c>
      <c r="F162" s="6">
        <v>6.8</v>
      </c>
      <c r="G162" s="10"/>
      <c r="H162" s="10"/>
      <c r="I162" s="3">
        <f>SUM(G162:H162)</f>
        <v>0</v>
      </c>
      <c r="J162" s="23"/>
      <c r="K162" s="2">
        <v>6</v>
      </c>
      <c r="L162" s="2">
        <v>1</v>
      </c>
      <c r="M162" s="3">
        <f>SUM(K162:L162)</f>
        <v>7</v>
      </c>
      <c r="N162" s="6">
        <f>105/15</f>
        <v>7</v>
      </c>
      <c r="O162" s="10">
        <v>5</v>
      </c>
      <c r="P162" s="10">
        <v>2</v>
      </c>
      <c r="Q162" s="3">
        <f>SUM(O162:P162)</f>
        <v>7</v>
      </c>
      <c r="R162" s="23">
        <v>6.7</v>
      </c>
      <c r="S162" s="2">
        <v>0</v>
      </c>
      <c r="T162" s="2">
        <v>0</v>
      </c>
      <c r="U162" s="3">
        <f>SUM(S162:T162)</f>
        <v>0</v>
      </c>
      <c r="V162" s="6">
        <v>0</v>
      </c>
      <c r="W162" s="10">
        <v>0</v>
      </c>
      <c r="X162" s="10">
        <v>1</v>
      </c>
      <c r="Y162" s="3">
        <f>SUM(W162:X162)</f>
        <v>1</v>
      </c>
      <c r="Z162" s="23">
        <f>11/15</f>
        <v>0.73333333333333328</v>
      </c>
      <c r="AA162" s="2">
        <v>5</v>
      </c>
      <c r="AB162" s="2">
        <v>0</v>
      </c>
      <c r="AC162" s="3">
        <f>SUM(AA162:AB162)</f>
        <v>5</v>
      </c>
      <c r="AD162" s="6">
        <f>72/15</f>
        <v>4.8</v>
      </c>
      <c r="AE162" s="10">
        <v>2</v>
      </c>
      <c r="AF162" s="10">
        <v>0</v>
      </c>
      <c r="AG162" s="3">
        <f>SUM(AE162:AF162)</f>
        <v>2</v>
      </c>
      <c r="AH162" s="23">
        <f>32.5/15</f>
        <v>2.1666666666666665</v>
      </c>
      <c r="AI162" s="2">
        <v>6</v>
      </c>
      <c r="AJ162" s="2">
        <v>1</v>
      </c>
      <c r="AK162" s="3">
        <f>SUM(AI162:AJ162)</f>
        <v>7</v>
      </c>
      <c r="AL162" s="6">
        <f>91/15</f>
        <v>6.0666666666666664</v>
      </c>
      <c r="AM162" s="10">
        <v>7</v>
      </c>
      <c r="AN162" s="10">
        <v>2</v>
      </c>
      <c r="AO162" s="3">
        <f>SUM(AM162:AN162)</f>
        <v>9</v>
      </c>
      <c r="AP162" s="23">
        <f>115/15</f>
        <v>7.666666666666667</v>
      </c>
      <c r="AQ162" s="2">
        <v>13</v>
      </c>
      <c r="AR162" s="2">
        <v>1</v>
      </c>
      <c r="AS162" s="3">
        <f>SUM(AQ162:AR162)</f>
        <v>14</v>
      </c>
      <c r="AT162" s="6">
        <f>194/15</f>
        <v>12.933333333333334</v>
      </c>
      <c r="AU162" s="10">
        <v>10</v>
      </c>
      <c r="AV162" s="10">
        <v>5</v>
      </c>
      <c r="AW162" s="3">
        <f>SUM(AU162:AV162)</f>
        <v>15</v>
      </c>
      <c r="AX162" s="23">
        <f>161.5/15</f>
        <v>10.766666666666667</v>
      </c>
      <c r="AY162" s="2">
        <v>4</v>
      </c>
      <c r="AZ162" s="2">
        <v>1</v>
      </c>
      <c r="BA162" s="3">
        <f>SUM(AY162:AZ162)</f>
        <v>5</v>
      </c>
      <c r="BB162" s="6">
        <f>54.5/15</f>
        <v>3.6333333333333333</v>
      </c>
      <c r="BC162" s="10">
        <v>5</v>
      </c>
      <c r="BD162" s="10">
        <v>1</v>
      </c>
      <c r="BE162" s="3">
        <f>SUM(BC162:BD162)</f>
        <v>6</v>
      </c>
      <c r="BF162" s="23">
        <f>72/15</f>
        <v>4.8</v>
      </c>
    </row>
    <row r="163" spans="1:58" x14ac:dyDescent="0.2">
      <c r="A163" s="36" t="s">
        <v>24</v>
      </c>
      <c r="B163" s="8" t="s">
        <v>229</v>
      </c>
      <c r="C163" s="5">
        <v>26</v>
      </c>
      <c r="D163" s="5">
        <v>2</v>
      </c>
      <c r="E163" s="3">
        <f>SUM(C163:D163)</f>
        <v>28</v>
      </c>
      <c r="F163" s="6">
        <v>41.1</v>
      </c>
      <c r="G163" s="10"/>
      <c r="H163" s="10"/>
      <c r="I163" s="3">
        <f>SUM(G163:H163)</f>
        <v>0</v>
      </c>
      <c r="J163" s="23"/>
      <c r="K163" s="5">
        <v>32</v>
      </c>
      <c r="L163" s="5">
        <v>4</v>
      </c>
      <c r="M163" s="3">
        <f t="shared" si="112"/>
        <v>36</v>
      </c>
      <c r="N163" s="6">
        <f>758/15</f>
        <v>50.533333333333331</v>
      </c>
      <c r="O163" s="10">
        <v>13</v>
      </c>
      <c r="P163" s="10">
        <v>3</v>
      </c>
      <c r="Q163" s="3">
        <f>SUM(O163:P163)</f>
        <v>16</v>
      </c>
      <c r="R163" s="23">
        <v>17</v>
      </c>
      <c r="S163" s="5">
        <v>13</v>
      </c>
      <c r="T163" s="5">
        <v>3</v>
      </c>
      <c r="U163" s="3">
        <f t="shared" si="114"/>
        <v>16</v>
      </c>
      <c r="V163" s="6">
        <f>377/15</f>
        <v>25.133333333333333</v>
      </c>
      <c r="W163" s="10">
        <v>6</v>
      </c>
      <c r="X163" s="10">
        <v>0</v>
      </c>
      <c r="Y163" s="3">
        <f t="shared" si="115"/>
        <v>6</v>
      </c>
      <c r="Z163" s="23">
        <f>86/15</f>
        <v>5.7333333333333334</v>
      </c>
      <c r="AA163" s="5">
        <v>17</v>
      </c>
      <c r="AB163" s="5">
        <v>4</v>
      </c>
      <c r="AC163" s="3">
        <f>SUM(AA163:AB163)</f>
        <v>21</v>
      </c>
      <c r="AD163" s="6">
        <f>531/15</f>
        <v>35.4</v>
      </c>
      <c r="AE163" s="10">
        <v>1</v>
      </c>
      <c r="AF163" s="10">
        <v>4</v>
      </c>
      <c r="AG163" s="3">
        <f>SUM(AE163:AF163)</f>
        <v>5</v>
      </c>
      <c r="AH163" s="23">
        <f>34/15</f>
        <v>2.2666666666666666</v>
      </c>
      <c r="AI163" s="5">
        <v>32</v>
      </c>
      <c r="AJ163" s="5">
        <v>4</v>
      </c>
      <c r="AK163" s="3">
        <f>SUM(AI163:AJ163)</f>
        <v>36</v>
      </c>
      <c r="AL163" s="6">
        <f>952/15</f>
        <v>63.466666666666669</v>
      </c>
      <c r="AM163" s="10">
        <v>7</v>
      </c>
      <c r="AN163" s="10">
        <v>3</v>
      </c>
      <c r="AO163" s="3">
        <f>SUM(AM163:AN163)</f>
        <v>10</v>
      </c>
      <c r="AP163" s="23">
        <f>109/15</f>
        <v>7.2666666666666666</v>
      </c>
      <c r="AQ163" s="5">
        <v>43</v>
      </c>
      <c r="AR163" s="5">
        <v>3</v>
      </c>
      <c r="AS163" s="3">
        <f>SUM(AQ163:AR163)</f>
        <v>46</v>
      </c>
      <c r="AT163" s="6">
        <f>1151/15</f>
        <v>76.733333333333334</v>
      </c>
      <c r="AU163" s="10">
        <v>8</v>
      </c>
      <c r="AV163" s="10">
        <v>3</v>
      </c>
      <c r="AW163" s="3">
        <f>SUM(AU163:AV163)</f>
        <v>11</v>
      </c>
      <c r="AX163" s="23">
        <f>129/15</f>
        <v>8.6</v>
      </c>
      <c r="AY163" s="5">
        <v>8</v>
      </c>
      <c r="AZ163" s="5">
        <v>2</v>
      </c>
      <c r="BA163" s="3">
        <f>SUM(AY163:AZ163)</f>
        <v>10</v>
      </c>
      <c r="BB163" s="6">
        <f>(126.5)/15</f>
        <v>8.4333333333333336</v>
      </c>
      <c r="BC163" s="10">
        <v>23</v>
      </c>
      <c r="BD163" s="10">
        <v>1</v>
      </c>
      <c r="BE163" s="3">
        <f>SUM(BC163:BD163)</f>
        <v>24</v>
      </c>
      <c r="BF163" s="23">
        <f>561/15</f>
        <v>37.4</v>
      </c>
    </row>
    <row r="164" spans="1:58" x14ac:dyDescent="0.2">
      <c r="A164" s="36" t="s">
        <v>29</v>
      </c>
      <c r="B164" s="8" t="s">
        <v>51</v>
      </c>
      <c r="C164" s="2">
        <v>12</v>
      </c>
      <c r="D164" s="2">
        <v>3</v>
      </c>
      <c r="E164" s="3">
        <f>SUM(C164:D164)</f>
        <v>15</v>
      </c>
      <c r="F164" s="6">
        <v>12.9</v>
      </c>
      <c r="G164" s="10"/>
      <c r="H164" s="10"/>
      <c r="I164" s="3">
        <f>SUM(G164:H164)</f>
        <v>0</v>
      </c>
      <c r="J164" s="23"/>
      <c r="K164" s="2">
        <v>13</v>
      </c>
      <c r="L164" s="2">
        <v>5</v>
      </c>
      <c r="M164" s="3">
        <f t="shared" si="112"/>
        <v>18</v>
      </c>
      <c r="N164" s="6">
        <f>241.5/15</f>
        <v>16.100000000000001</v>
      </c>
      <c r="O164" s="10">
        <v>15</v>
      </c>
      <c r="P164" s="10">
        <v>3</v>
      </c>
      <c r="Q164" s="3">
        <f>SUM(O164:P164)</f>
        <v>18</v>
      </c>
      <c r="R164" s="23">
        <v>15.7</v>
      </c>
      <c r="S164" s="2">
        <v>13</v>
      </c>
      <c r="T164" s="2">
        <v>2</v>
      </c>
      <c r="U164" s="3">
        <f t="shared" si="114"/>
        <v>15</v>
      </c>
      <c r="V164" s="6">
        <f>231.5/15</f>
        <v>15.433333333333334</v>
      </c>
      <c r="W164" s="10">
        <v>12</v>
      </c>
      <c r="X164" s="10">
        <v>1</v>
      </c>
      <c r="Y164" s="3">
        <f t="shared" si="115"/>
        <v>13</v>
      </c>
      <c r="Z164" s="23">
        <f>219/15</f>
        <v>14.6</v>
      </c>
      <c r="AA164" s="2">
        <v>14</v>
      </c>
      <c r="AB164" s="2">
        <v>0</v>
      </c>
      <c r="AC164" s="3">
        <f>SUM(AA164:AB164)</f>
        <v>14</v>
      </c>
      <c r="AD164" s="6">
        <f>222.5/15</f>
        <v>14.833333333333334</v>
      </c>
      <c r="AE164" s="10">
        <v>10</v>
      </c>
      <c r="AF164" s="10">
        <v>0</v>
      </c>
      <c r="AG164" s="3">
        <f>SUM(AE164:AF164)</f>
        <v>10</v>
      </c>
      <c r="AH164" s="23">
        <f>176.5/15</f>
        <v>11.766666666666667</v>
      </c>
      <c r="AI164" s="2">
        <v>14</v>
      </c>
      <c r="AJ164" s="2">
        <v>3</v>
      </c>
      <c r="AK164" s="3">
        <f>SUM(AI164:AJ164)</f>
        <v>17</v>
      </c>
      <c r="AL164" s="6">
        <f>227.5/15</f>
        <v>15.166666666666666</v>
      </c>
      <c r="AM164" s="10">
        <v>16</v>
      </c>
      <c r="AN164" s="10">
        <v>2</v>
      </c>
      <c r="AO164" s="3">
        <f>SUM(AM164:AN164)</f>
        <v>18</v>
      </c>
      <c r="AP164" s="23">
        <f>245/15</f>
        <v>16.333333333333332</v>
      </c>
      <c r="AQ164" s="2">
        <v>12</v>
      </c>
      <c r="AR164" s="2">
        <v>1</v>
      </c>
      <c r="AS164" s="3">
        <f>SUM(AQ164:AR164)</f>
        <v>13</v>
      </c>
      <c r="AT164" s="6">
        <f>177/15</f>
        <v>11.8</v>
      </c>
      <c r="AU164" s="10">
        <v>10</v>
      </c>
      <c r="AV164" s="10">
        <v>3</v>
      </c>
      <c r="AW164" s="3">
        <f>SUM(AU164:AV164)</f>
        <v>13</v>
      </c>
      <c r="AX164" s="23">
        <f>164.5/15</f>
        <v>10.966666666666667</v>
      </c>
      <c r="AY164" s="2">
        <v>15</v>
      </c>
      <c r="AZ164" s="2">
        <v>1</v>
      </c>
      <c r="BA164" s="3">
        <f>SUM(AY164:AZ164)</f>
        <v>16</v>
      </c>
      <c r="BB164" s="6">
        <f>(218.5)/15</f>
        <v>14.566666666666666</v>
      </c>
      <c r="BC164" s="10">
        <v>13</v>
      </c>
      <c r="BD164" s="10">
        <v>2</v>
      </c>
      <c r="BE164" s="3">
        <f>SUM(BC164:BD164)</f>
        <v>15</v>
      </c>
      <c r="BF164" s="23">
        <f>205.5/15</f>
        <v>13.7</v>
      </c>
    </row>
    <row r="165" spans="1:58" x14ac:dyDescent="0.2">
      <c r="B165" s="27" t="s">
        <v>7</v>
      </c>
      <c r="C165" s="43">
        <f t="shared" ref="C165:J165" si="116">SUM(C155:C164)</f>
        <v>596</v>
      </c>
      <c r="D165" s="43">
        <f t="shared" si="116"/>
        <v>112</v>
      </c>
      <c r="E165" s="45">
        <f t="shared" si="116"/>
        <v>708</v>
      </c>
      <c r="F165" s="39">
        <f t="shared" si="116"/>
        <v>665.8</v>
      </c>
      <c r="G165" s="43">
        <f t="shared" si="116"/>
        <v>0</v>
      </c>
      <c r="H165" s="43">
        <f t="shared" si="116"/>
        <v>0</v>
      </c>
      <c r="I165" s="45">
        <f t="shared" si="116"/>
        <v>0</v>
      </c>
      <c r="J165" s="39">
        <f t="shared" si="116"/>
        <v>0</v>
      </c>
      <c r="K165" s="43">
        <f t="shared" ref="K165:BF165" si="117">SUM(K155:K164)</f>
        <v>570</v>
      </c>
      <c r="L165" s="43">
        <f t="shared" si="117"/>
        <v>114</v>
      </c>
      <c r="M165" s="45">
        <f t="shared" si="117"/>
        <v>684</v>
      </c>
      <c r="N165" s="39">
        <f t="shared" si="117"/>
        <v>639.9</v>
      </c>
      <c r="O165" s="43">
        <f t="shared" si="117"/>
        <v>475</v>
      </c>
      <c r="P165" s="43">
        <f t="shared" si="117"/>
        <v>121</v>
      </c>
      <c r="Q165" s="45">
        <f t="shared" si="117"/>
        <v>596</v>
      </c>
      <c r="R165" s="39">
        <f t="shared" si="117"/>
        <v>528.30000000000007</v>
      </c>
      <c r="S165" s="43">
        <f t="shared" si="117"/>
        <v>609</v>
      </c>
      <c r="T165" s="43">
        <f t="shared" si="117"/>
        <v>133</v>
      </c>
      <c r="U165" s="45">
        <f t="shared" si="117"/>
        <v>742</v>
      </c>
      <c r="V165" s="39">
        <f t="shared" si="117"/>
        <v>676.13333333333333</v>
      </c>
      <c r="W165" s="43">
        <f t="shared" si="117"/>
        <v>514</v>
      </c>
      <c r="X165" s="43">
        <f t="shared" si="117"/>
        <v>111</v>
      </c>
      <c r="Y165" s="45">
        <f t="shared" si="117"/>
        <v>625</v>
      </c>
      <c r="Z165" s="39">
        <f t="shared" si="117"/>
        <v>559.46666666666681</v>
      </c>
      <c r="AA165" s="43">
        <f t="shared" si="117"/>
        <v>730</v>
      </c>
      <c r="AB165" s="43">
        <f t="shared" si="117"/>
        <v>163</v>
      </c>
      <c r="AC165" s="45">
        <f t="shared" si="117"/>
        <v>893</v>
      </c>
      <c r="AD165" s="39">
        <f t="shared" si="117"/>
        <v>813.73333333333335</v>
      </c>
      <c r="AE165" s="43">
        <f t="shared" si="117"/>
        <v>626</v>
      </c>
      <c r="AF165" s="43">
        <f t="shared" si="117"/>
        <v>147</v>
      </c>
      <c r="AG165" s="45">
        <f t="shared" si="117"/>
        <v>773</v>
      </c>
      <c r="AH165" s="39">
        <f t="shared" si="117"/>
        <v>682</v>
      </c>
      <c r="AI165" s="43">
        <f t="shared" si="117"/>
        <v>839</v>
      </c>
      <c r="AJ165" s="43">
        <f t="shared" si="117"/>
        <v>155</v>
      </c>
      <c r="AK165" s="45">
        <f t="shared" si="117"/>
        <v>994</v>
      </c>
      <c r="AL165" s="39">
        <f t="shared" si="117"/>
        <v>920.93333333333339</v>
      </c>
      <c r="AM165" s="43">
        <f t="shared" si="117"/>
        <v>717</v>
      </c>
      <c r="AN165" s="43">
        <f t="shared" si="117"/>
        <v>166</v>
      </c>
      <c r="AO165" s="45">
        <f t="shared" si="117"/>
        <v>883</v>
      </c>
      <c r="AP165" s="39">
        <f t="shared" si="117"/>
        <v>776.16666666666652</v>
      </c>
      <c r="AQ165" s="43">
        <f t="shared" si="117"/>
        <v>829</v>
      </c>
      <c r="AR165" s="43">
        <f t="shared" si="117"/>
        <v>168</v>
      </c>
      <c r="AS165" s="45">
        <f t="shared" si="117"/>
        <v>997</v>
      </c>
      <c r="AT165" s="39">
        <f t="shared" si="117"/>
        <v>919.59999999999991</v>
      </c>
      <c r="AU165" s="43">
        <f t="shared" si="117"/>
        <v>764</v>
      </c>
      <c r="AV165" s="43">
        <f t="shared" si="117"/>
        <v>192</v>
      </c>
      <c r="AW165" s="45">
        <f t="shared" si="117"/>
        <v>956</v>
      </c>
      <c r="AX165" s="39">
        <f t="shared" si="117"/>
        <v>825.86666666666667</v>
      </c>
      <c r="AY165" s="43">
        <f t="shared" si="117"/>
        <v>874</v>
      </c>
      <c r="AZ165" s="43">
        <f t="shared" si="117"/>
        <v>167</v>
      </c>
      <c r="BA165" s="45">
        <f t="shared" si="117"/>
        <v>1041</v>
      </c>
      <c r="BB165" s="39">
        <f t="shared" si="117"/>
        <v>927.4</v>
      </c>
      <c r="BC165" s="43">
        <f t="shared" si="117"/>
        <v>791</v>
      </c>
      <c r="BD165" s="43">
        <f t="shared" si="117"/>
        <v>176</v>
      </c>
      <c r="BE165" s="45">
        <f t="shared" si="117"/>
        <v>967</v>
      </c>
      <c r="BF165" s="39">
        <f t="shared" si="117"/>
        <v>860.19999999999993</v>
      </c>
    </row>
    <row r="166" spans="1:58" x14ac:dyDescent="0.2">
      <c r="B166" s="8"/>
      <c r="C166" s="20"/>
      <c r="D166" s="20"/>
      <c r="E166" s="15"/>
      <c r="G166" s="20"/>
      <c r="H166" s="20"/>
      <c r="I166" s="26" t="s">
        <v>8</v>
      </c>
      <c r="J166" s="6">
        <f>(F165+J165)/2</f>
        <v>332.9</v>
      </c>
      <c r="K166" s="20"/>
      <c r="L166" s="20"/>
      <c r="M166" s="15"/>
      <c r="O166" s="20"/>
      <c r="P166" s="20"/>
      <c r="Q166" s="26" t="s">
        <v>8</v>
      </c>
      <c r="R166" s="6">
        <f>(N165+R165)/2</f>
        <v>584.1</v>
      </c>
      <c r="S166" s="20"/>
      <c r="T166" s="20"/>
      <c r="U166" s="15"/>
      <c r="W166" s="20"/>
      <c r="X166" s="20"/>
      <c r="Y166" s="26" t="s">
        <v>8</v>
      </c>
      <c r="Z166" s="6">
        <f>(V165+Z165)/2</f>
        <v>617.80000000000007</v>
      </c>
      <c r="AA166" s="20"/>
      <c r="AB166" s="20"/>
      <c r="AC166" s="15"/>
      <c r="AE166" s="20"/>
      <c r="AF166" s="20"/>
      <c r="AG166" s="26" t="s">
        <v>8</v>
      </c>
      <c r="AH166" s="6">
        <f>(AD165+AH165)/2</f>
        <v>747.86666666666667</v>
      </c>
      <c r="AI166" s="20"/>
      <c r="AJ166" s="20"/>
      <c r="AK166" s="15"/>
      <c r="AM166" s="20"/>
      <c r="AN166" s="20"/>
      <c r="AO166" s="26" t="s">
        <v>8</v>
      </c>
      <c r="AP166" s="6">
        <f>(AL165+AP165)/2</f>
        <v>848.55</v>
      </c>
      <c r="AQ166" s="20"/>
      <c r="AR166" s="20"/>
      <c r="AS166" s="15"/>
      <c r="AU166" s="20"/>
      <c r="AV166" s="20"/>
      <c r="AW166" s="26" t="s">
        <v>8</v>
      </c>
      <c r="AX166" s="6">
        <f>(AT165+AX165)/2</f>
        <v>872.73333333333335</v>
      </c>
      <c r="AY166" s="20"/>
      <c r="AZ166" s="20"/>
      <c r="BA166" s="15"/>
      <c r="BC166" s="20"/>
      <c r="BD166" s="20"/>
      <c r="BE166" s="26" t="s">
        <v>8</v>
      </c>
      <c r="BF166" s="6">
        <f>(BB165+BF165)/2</f>
        <v>893.8</v>
      </c>
    </row>
    <row r="167" spans="1:58" x14ac:dyDescent="0.2">
      <c r="B167" s="8"/>
      <c r="C167" s="20"/>
      <c r="D167" s="20"/>
      <c r="E167" s="15"/>
      <c r="G167" s="20"/>
      <c r="H167" s="20"/>
      <c r="I167" s="26"/>
      <c r="J167" s="6"/>
      <c r="K167" s="20"/>
      <c r="L167" s="20"/>
      <c r="M167" s="15"/>
      <c r="O167" s="20"/>
      <c r="P167" s="20"/>
      <c r="Q167" s="26"/>
      <c r="R167" s="6"/>
      <c r="S167" s="20"/>
      <c r="T167" s="20"/>
      <c r="U167" s="15"/>
      <c r="W167" s="20"/>
      <c r="X167" s="20"/>
      <c r="Y167" s="26"/>
      <c r="Z167" s="6"/>
      <c r="AA167" s="20"/>
      <c r="AB167" s="20"/>
      <c r="AC167" s="15"/>
      <c r="AE167" s="20"/>
      <c r="AF167" s="20"/>
      <c r="AG167" s="26"/>
      <c r="AH167" s="6"/>
      <c r="AI167" s="20"/>
      <c r="AJ167" s="20"/>
      <c r="AK167" s="15"/>
      <c r="AM167" s="20"/>
      <c r="AN167" s="20"/>
      <c r="AO167" s="26"/>
      <c r="AP167" s="6"/>
      <c r="AQ167" s="20"/>
      <c r="AR167" s="20"/>
      <c r="AS167" s="15"/>
      <c r="AU167" s="20"/>
      <c r="AV167" s="20"/>
      <c r="AW167" s="26"/>
      <c r="AX167" s="6"/>
      <c r="AY167" s="20"/>
      <c r="AZ167" s="20"/>
      <c r="BA167" s="15"/>
      <c r="BC167" s="20"/>
      <c r="BD167" s="20"/>
      <c r="BE167" s="26"/>
      <c r="BF167" s="6"/>
    </row>
    <row r="168" spans="1:58" x14ac:dyDescent="0.2">
      <c r="B168" s="8"/>
      <c r="E168" s="3" t="s">
        <v>263</v>
      </c>
      <c r="F168" s="21"/>
      <c r="I168" s="3" t="s">
        <v>264</v>
      </c>
      <c r="J168" s="6"/>
      <c r="M168" s="3" t="s">
        <v>232</v>
      </c>
      <c r="N168" s="21"/>
      <c r="Q168" s="3" t="s">
        <v>233</v>
      </c>
      <c r="R168" s="6"/>
      <c r="U168" s="3" t="s">
        <v>225</v>
      </c>
      <c r="V168" s="21"/>
      <c r="Y168" s="3" t="s">
        <v>226</v>
      </c>
      <c r="Z168" s="6"/>
      <c r="AC168" s="3" t="s">
        <v>221</v>
      </c>
      <c r="AD168" s="21"/>
      <c r="AG168" s="3" t="s">
        <v>222</v>
      </c>
      <c r="AH168" s="6"/>
      <c r="AK168" s="3" t="s">
        <v>215</v>
      </c>
      <c r="AL168" s="21"/>
      <c r="AO168" s="3" t="s">
        <v>216</v>
      </c>
      <c r="AP168" s="6"/>
      <c r="AS168" s="3" t="s">
        <v>209</v>
      </c>
      <c r="AT168" s="21"/>
      <c r="AW168" s="3" t="s">
        <v>210</v>
      </c>
      <c r="AX168" s="6"/>
      <c r="BA168" s="3" t="s">
        <v>205</v>
      </c>
      <c r="BB168" s="21"/>
      <c r="BE168" s="3" t="s">
        <v>206</v>
      </c>
      <c r="BF168" s="6"/>
    </row>
    <row r="169" spans="1:58" x14ac:dyDescent="0.2">
      <c r="B169" s="4" t="s">
        <v>261</v>
      </c>
      <c r="C169" s="2" t="s">
        <v>0</v>
      </c>
      <c r="D169" s="2" t="s">
        <v>1</v>
      </c>
      <c r="E169" s="7" t="s">
        <v>5</v>
      </c>
      <c r="F169" s="6" t="s">
        <v>6</v>
      </c>
      <c r="G169" s="2" t="s">
        <v>0</v>
      </c>
      <c r="H169" s="2" t="s">
        <v>1</v>
      </c>
      <c r="I169" s="7" t="s">
        <v>5</v>
      </c>
      <c r="J169" s="6" t="s">
        <v>6</v>
      </c>
      <c r="K169" s="2" t="s">
        <v>0</v>
      </c>
      <c r="L169" s="2" t="s">
        <v>1</v>
      </c>
      <c r="M169" s="7" t="s">
        <v>5</v>
      </c>
      <c r="N169" s="6" t="s">
        <v>6</v>
      </c>
      <c r="O169" s="2" t="s">
        <v>0</v>
      </c>
      <c r="P169" s="2" t="s">
        <v>1</v>
      </c>
      <c r="Q169" s="7" t="s">
        <v>5</v>
      </c>
      <c r="R169" s="6" t="s">
        <v>6</v>
      </c>
      <c r="S169" s="2" t="s">
        <v>0</v>
      </c>
      <c r="T169" s="2" t="s">
        <v>1</v>
      </c>
      <c r="U169" s="7" t="s">
        <v>5</v>
      </c>
      <c r="V169" s="6" t="s">
        <v>6</v>
      </c>
      <c r="W169" s="2" t="s">
        <v>0</v>
      </c>
      <c r="X169" s="2" t="s">
        <v>1</v>
      </c>
      <c r="Y169" s="7" t="s">
        <v>5</v>
      </c>
      <c r="Z169" s="6" t="s">
        <v>6</v>
      </c>
      <c r="AA169" s="2" t="s">
        <v>0</v>
      </c>
      <c r="AB169" s="2" t="s">
        <v>1</v>
      </c>
      <c r="AC169" s="7" t="s">
        <v>5</v>
      </c>
      <c r="AD169" s="6" t="s">
        <v>6</v>
      </c>
      <c r="AE169" s="2" t="s">
        <v>0</v>
      </c>
      <c r="AF169" s="2" t="s">
        <v>1</v>
      </c>
      <c r="AG169" s="7" t="s">
        <v>5</v>
      </c>
      <c r="AH169" s="6" t="s">
        <v>6</v>
      </c>
      <c r="AI169" s="2" t="s">
        <v>0</v>
      </c>
      <c r="AJ169" s="2" t="s">
        <v>1</v>
      </c>
      <c r="AK169" s="7" t="s">
        <v>5</v>
      </c>
      <c r="AL169" s="6" t="s">
        <v>6</v>
      </c>
      <c r="AM169" s="2" t="s">
        <v>0</v>
      </c>
      <c r="AN169" s="2" t="s">
        <v>1</v>
      </c>
      <c r="AO169" s="7" t="s">
        <v>5</v>
      </c>
      <c r="AP169" s="6" t="s">
        <v>6</v>
      </c>
      <c r="AQ169" s="2" t="s">
        <v>0</v>
      </c>
      <c r="AR169" s="2" t="s">
        <v>1</v>
      </c>
      <c r="AS169" s="7" t="s">
        <v>5</v>
      </c>
      <c r="AT169" s="6" t="s">
        <v>6</v>
      </c>
      <c r="AU169" s="2" t="s">
        <v>0</v>
      </c>
      <c r="AV169" s="2" t="s">
        <v>1</v>
      </c>
      <c r="AW169" s="7" t="s">
        <v>5</v>
      </c>
      <c r="AX169" s="6" t="s">
        <v>6</v>
      </c>
      <c r="AY169" s="2" t="s">
        <v>0</v>
      </c>
      <c r="AZ169" s="2" t="s">
        <v>1</v>
      </c>
      <c r="BA169" s="7" t="s">
        <v>5</v>
      </c>
      <c r="BB169" s="6" t="s">
        <v>6</v>
      </c>
      <c r="BC169" s="2" t="s">
        <v>0</v>
      </c>
      <c r="BD169" s="2" t="s">
        <v>1</v>
      </c>
      <c r="BE169" s="7" t="s">
        <v>5</v>
      </c>
      <c r="BF169" s="6" t="s">
        <v>6</v>
      </c>
    </row>
    <row r="170" spans="1:58" x14ac:dyDescent="0.2">
      <c r="A170" s="36" t="s">
        <v>199</v>
      </c>
      <c r="B170" s="8" t="s">
        <v>204</v>
      </c>
      <c r="C170" s="2">
        <v>0</v>
      </c>
      <c r="D170" s="2">
        <v>0</v>
      </c>
      <c r="E170" s="3">
        <f>SUM(C170:D170)</f>
        <v>0</v>
      </c>
      <c r="F170" s="6">
        <v>0</v>
      </c>
      <c r="G170" s="10"/>
      <c r="H170" s="10"/>
      <c r="I170" s="3">
        <f>SUM(G170:H170)</f>
        <v>0</v>
      </c>
      <c r="J170" s="23"/>
      <c r="K170" s="2">
        <v>1</v>
      </c>
      <c r="L170" s="2">
        <v>0</v>
      </c>
      <c r="M170" s="3">
        <f>SUM(K170:L170)</f>
        <v>1</v>
      </c>
      <c r="N170" s="6">
        <f>22/15</f>
        <v>1.4666666666666666</v>
      </c>
      <c r="O170" s="10">
        <v>1</v>
      </c>
      <c r="P170" s="10">
        <v>0</v>
      </c>
      <c r="Q170" s="3">
        <f>SUM(O170:P170)</f>
        <v>1</v>
      </c>
      <c r="R170" s="23">
        <v>0.9</v>
      </c>
      <c r="S170" s="2">
        <v>1</v>
      </c>
      <c r="T170" s="2">
        <v>1</v>
      </c>
      <c r="U170" s="3">
        <v>2</v>
      </c>
      <c r="V170" s="6">
        <f>23/15</f>
        <v>1.5333333333333334</v>
      </c>
      <c r="W170" s="10">
        <v>0</v>
      </c>
      <c r="X170" s="10">
        <v>1</v>
      </c>
      <c r="Y170" s="3">
        <v>1</v>
      </c>
      <c r="Z170" s="23">
        <f>4/15</f>
        <v>0.26666666666666666</v>
      </c>
      <c r="AA170" s="2">
        <v>1</v>
      </c>
      <c r="AB170" s="2">
        <v>0</v>
      </c>
      <c r="AC170" s="3">
        <f>SUM(AA170:AB170)</f>
        <v>1</v>
      </c>
      <c r="AD170" s="6">
        <f>12/15</f>
        <v>0.8</v>
      </c>
      <c r="AE170" s="10">
        <v>2</v>
      </c>
      <c r="AF170" s="10">
        <v>1</v>
      </c>
      <c r="AG170" s="3">
        <f>SUM(AE170:AF170)</f>
        <v>3</v>
      </c>
      <c r="AH170" s="23">
        <f>35.5/15</f>
        <v>2.3666666666666667</v>
      </c>
      <c r="AI170" s="2">
        <v>0</v>
      </c>
      <c r="AJ170" s="2">
        <v>0</v>
      </c>
      <c r="AK170" s="3">
        <f>SUM(AI170:AJ170)</f>
        <v>0</v>
      </c>
      <c r="AL170" s="6">
        <v>0</v>
      </c>
      <c r="AM170" s="10">
        <v>1</v>
      </c>
      <c r="AN170" s="10">
        <v>0</v>
      </c>
      <c r="AO170" s="3">
        <f>SUM(AM170:AN170)</f>
        <v>1</v>
      </c>
      <c r="AP170" s="23">
        <f>12/15</f>
        <v>0.8</v>
      </c>
      <c r="AQ170" s="2">
        <v>0</v>
      </c>
      <c r="AR170" s="2">
        <v>0</v>
      </c>
      <c r="AS170" s="3">
        <f>SUM(AQ170:AR170)</f>
        <v>0</v>
      </c>
      <c r="AT170" s="6">
        <v>0</v>
      </c>
      <c r="AU170" s="10">
        <v>0</v>
      </c>
      <c r="AV170" s="10">
        <v>0</v>
      </c>
      <c r="AW170" s="3">
        <f>SUM(AU170:AV170)</f>
        <v>0</v>
      </c>
      <c r="AX170" s="23">
        <v>0</v>
      </c>
      <c r="AY170" s="2">
        <v>0</v>
      </c>
      <c r="AZ170" s="2">
        <v>0</v>
      </c>
      <c r="BA170" s="3">
        <f>SUM(AY170:AZ170)</f>
        <v>0</v>
      </c>
      <c r="BB170" s="6">
        <v>0</v>
      </c>
      <c r="BC170" s="10">
        <v>0</v>
      </c>
      <c r="BD170" s="10">
        <v>0</v>
      </c>
      <c r="BE170" s="3">
        <f>SUM(BC170:BD170)</f>
        <v>0</v>
      </c>
      <c r="BF170" s="23">
        <f>0/15</f>
        <v>0</v>
      </c>
    </row>
    <row r="171" spans="1:58" x14ac:dyDescent="0.2">
      <c r="A171" s="36" t="s">
        <v>200</v>
      </c>
      <c r="B171" s="8" t="s">
        <v>182</v>
      </c>
      <c r="C171" s="2">
        <v>3</v>
      </c>
      <c r="D171" s="2">
        <v>10</v>
      </c>
      <c r="E171" s="3">
        <f>SUM(C171:D171)</f>
        <v>13</v>
      </c>
      <c r="F171" s="6">
        <v>6.7</v>
      </c>
      <c r="G171" s="10"/>
      <c r="H171" s="10"/>
      <c r="I171" s="3">
        <f>SUM(G171:H171)</f>
        <v>0</v>
      </c>
      <c r="J171" s="23"/>
      <c r="K171" s="2">
        <v>12</v>
      </c>
      <c r="L171" s="2">
        <v>21</v>
      </c>
      <c r="M171" s="3">
        <f>SUM(K171:L171)</f>
        <v>33</v>
      </c>
      <c r="N171" s="6">
        <f>285/15</f>
        <v>19</v>
      </c>
      <c r="O171" s="10">
        <v>10</v>
      </c>
      <c r="P171" s="10">
        <v>19</v>
      </c>
      <c r="Q171" s="3">
        <f>SUM(O171:P171)</f>
        <v>29</v>
      </c>
      <c r="R171" s="23">
        <v>17.600000000000001</v>
      </c>
      <c r="S171" s="2">
        <v>41</v>
      </c>
      <c r="T171" s="2">
        <v>54</v>
      </c>
      <c r="U171" s="3">
        <f>SUM(S171:T171)</f>
        <v>95</v>
      </c>
      <c r="V171" s="6">
        <f>899/15</f>
        <v>59.93333333333333</v>
      </c>
      <c r="W171" s="10">
        <v>29</v>
      </c>
      <c r="X171" s="10">
        <v>42</v>
      </c>
      <c r="Y171" s="3">
        <f>SUM(W171:X171)</f>
        <v>71</v>
      </c>
      <c r="Z171" s="23">
        <f>671.5/15</f>
        <v>44.766666666666666</v>
      </c>
      <c r="AA171" s="2">
        <v>117</v>
      </c>
      <c r="AB171" s="2">
        <v>117</v>
      </c>
      <c r="AC171" s="3">
        <f>SUM(AA171:AB171)</f>
        <v>234</v>
      </c>
      <c r="AD171" s="6">
        <f>2437/15</f>
        <v>162.46666666666667</v>
      </c>
      <c r="AE171" s="10">
        <v>91</v>
      </c>
      <c r="AF171" s="10">
        <v>93</v>
      </c>
      <c r="AG171" s="3">
        <f>SUM(AE171:AF171)</f>
        <v>184</v>
      </c>
      <c r="AH171" s="23">
        <f>1936/15</f>
        <v>129.06666666666666</v>
      </c>
      <c r="AI171" s="2">
        <v>378</v>
      </c>
      <c r="AJ171" s="2">
        <v>259</v>
      </c>
      <c r="AK171" s="3">
        <f>SUM(AI171:AJ171)</f>
        <v>637</v>
      </c>
      <c r="AL171" s="6">
        <f>7091/15</f>
        <v>472.73333333333335</v>
      </c>
      <c r="AM171" s="10">
        <v>237</v>
      </c>
      <c r="AN171" s="10">
        <v>216</v>
      </c>
      <c r="AO171" s="3">
        <f>SUM(AM171:AN171)</f>
        <v>453</v>
      </c>
      <c r="AP171" s="23">
        <f>4871/15</f>
        <v>324.73333333333335</v>
      </c>
      <c r="AQ171" s="2">
        <v>236</v>
      </c>
      <c r="AR171" s="2">
        <v>178</v>
      </c>
      <c r="AS171" s="3">
        <f>SUM(AQ171:AR171)</f>
        <v>414</v>
      </c>
      <c r="AT171" s="6">
        <f>4493.4333333333/15</f>
        <v>299.56222222221999</v>
      </c>
      <c r="AU171" s="10">
        <v>303</v>
      </c>
      <c r="AV171" s="10">
        <v>255</v>
      </c>
      <c r="AW171" s="3">
        <f>SUM(AU171:AV171)</f>
        <v>558</v>
      </c>
      <c r="AX171" s="23">
        <f>5896.5/15</f>
        <v>393.1</v>
      </c>
      <c r="AY171" s="2">
        <v>2</v>
      </c>
      <c r="AZ171" s="2">
        <v>4</v>
      </c>
      <c r="BA171" s="3">
        <f>SUM(AY171:AZ171)</f>
        <v>6</v>
      </c>
      <c r="BB171" s="6">
        <f>55/15</f>
        <v>3.6666666666666665</v>
      </c>
      <c r="BC171" s="10">
        <v>4</v>
      </c>
      <c r="BD171" s="10">
        <v>3</v>
      </c>
      <c r="BE171" s="3">
        <f>SUM(BC171:BD171)</f>
        <v>7</v>
      </c>
      <c r="BF171" s="23">
        <f>95.5/15</f>
        <v>6.3666666666666663</v>
      </c>
    </row>
    <row r="172" spans="1:58" x14ac:dyDescent="0.2">
      <c r="A172" s="36" t="s">
        <v>201</v>
      </c>
      <c r="B172" s="8" t="s">
        <v>183</v>
      </c>
      <c r="C172" s="2">
        <v>0</v>
      </c>
      <c r="D172" s="2">
        <v>0</v>
      </c>
      <c r="E172" s="3">
        <f>SUM(C172:D172)</f>
        <v>0</v>
      </c>
      <c r="F172" s="6">
        <v>0</v>
      </c>
      <c r="G172" s="10"/>
      <c r="H172" s="10"/>
      <c r="I172" s="3">
        <f>SUM(G172:H172)</f>
        <v>0</v>
      </c>
      <c r="J172" s="23"/>
      <c r="K172" s="2">
        <v>0</v>
      </c>
      <c r="L172" s="2">
        <v>0</v>
      </c>
      <c r="M172" s="3">
        <f>SUM(K172:L172)</f>
        <v>0</v>
      </c>
      <c r="N172" s="6">
        <v>0</v>
      </c>
      <c r="O172" s="10">
        <v>0</v>
      </c>
      <c r="P172" s="10">
        <v>0</v>
      </c>
      <c r="Q172" s="3">
        <f>SUM(O172:P172)</f>
        <v>0</v>
      </c>
      <c r="R172" s="23">
        <v>0</v>
      </c>
      <c r="S172" s="2">
        <v>2</v>
      </c>
      <c r="T172" s="2">
        <v>2</v>
      </c>
      <c r="U172" s="3">
        <f>SUM(S172:T172)</f>
        <v>4</v>
      </c>
      <c r="V172" s="6">
        <f>46/15</f>
        <v>3.0666666666666669</v>
      </c>
      <c r="W172" s="10">
        <v>0</v>
      </c>
      <c r="X172" s="10">
        <v>2</v>
      </c>
      <c r="Y172" s="3">
        <f>SUM(W172:X172)</f>
        <v>2</v>
      </c>
      <c r="Z172" s="23">
        <f>12/15</f>
        <v>0.8</v>
      </c>
      <c r="AA172" s="2">
        <v>5</v>
      </c>
      <c r="AB172" s="2">
        <v>0</v>
      </c>
      <c r="AC172" s="3">
        <f>SUM(AA172:AB172)</f>
        <v>5</v>
      </c>
      <c r="AD172" s="6">
        <f>78.5/15</f>
        <v>5.2333333333333334</v>
      </c>
      <c r="AE172" s="10">
        <v>5</v>
      </c>
      <c r="AF172" s="10">
        <v>0</v>
      </c>
      <c r="AG172" s="3">
        <f>SUM(AE172:AF172)</f>
        <v>5</v>
      </c>
      <c r="AH172" s="23">
        <f>69/15</f>
        <v>4.5999999999999996</v>
      </c>
      <c r="AI172" s="2">
        <v>2</v>
      </c>
      <c r="AJ172" s="2">
        <v>0</v>
      </c>
      <c r="AK172" s="3">
        <f>SUM(AI172:AJ172)</f>
        <v>2</v>
      </c>
      <c r="AL172" s="6">
        <f>25/15</f>
        <v>1.6666666666666667</v>
      </c>
      <c r="AM172" s="10">
        <v>4</v>
      </c>
      <c r="AN172" s="10">
        <v>0</v>
      </c>
      <c r="AO172" s="3">
        <f>SUM(AM172:AN172)</f>
        <v>4</v>
      </c>
      <c r="AP172" s="23">
        <f>56/15</f>
        <v>3.7333333333333334</v>
      </c>
      <c r="AQ172" s="2">
        <v>0</v>
      </c>
      <c r="AR172" s="2">
        <v>4</v>
      </c>
      <c r="AS172" s="3">
        <f>SUM(AQ172:AR172)</f>
        <v>4</v>
      </c>
      <c r="AT172" s="6">
        <f>25/15</f>
        <v>1.6666666666666667</v>
      </c>
      <c r="AU172" s="10">
        <v>1</v>
      </c>
      <c r="AV172" s="10">
        <v>4</v>
      </c>
      <c r="AW172" s="3">
        <f>SUM(AU172:AV172)</f>
        <v>5</v>
      </c>
      <c r="AX172" s="23">
        <f>32/15</f>
        <v>2.1333333333333333</v>
      </c>
      <c r="AY172" s="2">
        <v>3</v>
      </c>
      <c r="AZ172" s="2">
        <v>0</v>
      </c>
      <c r="BA172" s="3">
        <f>SUM(AY172:AZ172)</f>
        <v>3</v>
      </c>
      <c r="BB172" s="6">
        <f>43.5/15</f>
        <v>2.9</v>
      </c>
      <c r="BC172" s="10">
        <v>2</v>
      </c>
      <c r="BD172" s="10">
        <v>2</v>
      </c>
      <c r="BE172" s="3">
        <f>SUM(BC172:BD172)</f>
        <v>4</v>
      </c>
      <c r="BF172" s="23">
        <f>44/15</f>
        <v>2.9333333333333331</v>
      </c>
    </row>
    <row r="173" spans="1:58" s="11" customFormat="1" x14ac:dyDescent="0.2">
      <c r="A173" s="38" t="s">
        <v>202</v>
      </c>
      <c r="B173" s="11" t="s">
        <v>181</v>
      </c>
      <c r="C173" s="14">
        <v>1</v>
      </c>
      <c r="D173" s="14">
        <v>0</v>
      </c>
      <c r="E173" s="12">
        <f>SUM(C173:D173)</f>
        <v>1</v>
      </c>
      <c r="F173" s="22">
        <v>1</v>
      </c>
      <c r="G173" s="10"/>
      <c r="H173" s="10"/>
      <c r="I173" s="12">
        <f>SUM(G173:H173)</f>
        <v>0</v>
      </c>
      <c r="J173" s="23"/>
      <c r="K173" s="14">
        <v>1</v>
      </c>
      <c r="L173" s="14">
        <v>1</v>
      </c>
      <c r="M173" s="12">
        <f>SUM(K173:L173)</f>
        <v>2</v>
      </c>
      <c r="N173" s="22">
        <f>18.5/15</f>
        <v>1.2333333333333334</v>
      </c>
      <c r="O173" s="10">
        <v>2</v>
      </c>
      <c r="P173" s="10">
        <v>0</v>
      </c>
      <c r="Q173" s="12">
        <f>SUM(O173:P173)</f>
        <v>2</v>
      </c>
      <c r="R173" s="23">
        <v>2.5</v>
      </c>
      <c r="S173" s="14">
        <v>0</v>
      </c>
      <c r="T173" s="14">
        <v>0</v>
      </c>
      <c r="U173" s="12">
        <f>SUM(S173:T173)</f>
        <v>0</v>
      </c>
      <c r="V173" s="22">
        <v>0</v>
      </c>
      <c r="W173" s="14">
        <v>2</v>
      </c>
      <c r="X173" s="14">
        <v>0</v>
      </c>
      <c r="Y173" s="12">
        <f>SUM(W173:X173)</f>
        <v>2</v>
      </c>
      <c r="Z173" s="24">
        <f>31/15</f>
        <v>2.0666666666666669</v>
      </c>
      <c r="AA173" s="14">
        <v>0</v>
      </c>
      <c r="AB173" s="14">
        <v>0</v>
      </c>
      <c r="AC173" s="12">
        <f>SUM(AA173:AB173)</f>
        <v>0</v>
      </c>
      <c r="AD173" s="22">
        <v>0</v>
      </c>
      <c r="AE173" s="14">
        <v>2</v>
      </c>
      <c r="AF173" s="14">
        <v>0</v>
      </c>
      <c r="AG173" s="12">
        <f>SUM(AE173:AF173)</f>
        <v>2</v>
      </c>
      <c r="AH173" s="24">
        <f>33.5/15</f>
        <v>2.2333333333333334</v>
      </c>
      <c r="AI173" s="14">
        <v>0</v>
      </c>
      <c r="AJ173" s="14">
        <v>0</v>
      </c>
      <c r="AK173" s="12">
        <f>SUM(AI173:AJ173)</f>
        <v>0</v>
      </c>
      <c r="AL173" s="22">
        <v>0</v>
      </c>
      <c r="AM173" s="14">
        <v>1</v>
      </c>
      <c r="AN173" s="14">
        <v>1</v>
      </c>
      <c r="AO173" s="12">
        <f>SUM(AM173:AN173)</f>
        <v>2</v>
      </c>
      <c r="AP173" s="24">
        <f>19/15</f>
        <v>1.2666666666666666</v>
      </c>
      <c r="AQ173" s="14">
        <v>2</v>
      </c>
      <c r="AR173" s="14">
        <v>0</v>
      </c>
      <c r="AS173" s="12">
        <f>SUM(AQ173:AR173)</f>
        <v>2</v>
      </c>
      <c r="AT173" s="22">
        <f>28/15</f>
        <v>1.8666666666666667</v>
      </c>
      <c r="AU173" s="14">
        <v>1</v>
      </c>
      <c r="AV173" s="14">
        <v>1</v>
      </c>
      <c r="AW173" s="12">
        <f>SUM(AU173:AV173)</f>
        <v>2</v>
      </c>
      <c r="AX173" s="24">
        <f>22/15</f>
        <v>1.4666666666666666</v>
      </c>
      <c r="AY173" s="14">
        <v>1</v>
      </c>
      <c r="AZ173" s="14">
        <v>0</v>
      </c>
      <c r="BA173" s="12">
        <f>SUM(AY173:AZ173)</f>
        <v>1</v>
      </c>
      <c r="BB173" s="22">
        <f>12/15</f>
        <v>0.8</v>
      </c>
      <c r="BC173" s="14">
        <v>3</v>
      </c>
      <c r="BD173" s="14">
        <v>0</v>
      </c>
      <c r="BE173" s="12">
        <f>SUM(BC173:BD173)</f>
        <v>3</v>
      </c>
      <c r="BF173" s="24">
        <f>44/15</f>
        <v>2.9333333333333331</v>
      </c>
    </row>
    <row r="174" spans="1:58" s="8" customFormat="1" x14ac:dyDescent="0.2">
      <c r="A174" s="37"/>
      <c r="C174" s="5">
        <f t="shared" ref="C174:J174" si="118">SUM(C170:C173)</f>
        <v>4</v>
      </c>
      <c r="D174" s="5">
        <f t="shared" si="118"/>
        <v>10</v>
      </c>
      <c r="E174" s="7">
        <f t="shared" si="118"/>
        <v>14</v>
      </c>
      <c r="F174" s="7">
        <f t="shared" si="118"/>
        <v>7.7</v>
      </c>
      <c r="G174" s="43">
        <f t="shared" si="118"/>
        <v>0</v>
      </c>
      <c r="H174" s="43">
        <f t="shared" si="118"/>
        <v>0</v>
      </c>
      <c r="I174" s="45">
        <f t="shared" si="118"/>
        <v>0</v>
      </c>
      <c r="J174" s="46">
        <f t="shared" si="118"/>
        <v>0</v>
      </c>
      <c r="K174" s="5">
        <f t="shared" ref="K174:BF174" si="119">SUM(K170:K173)</f>
        <v>14</v>
      </c>
      <c r="L174" s="5">
        <f t="shared" si="119"/>
        <v>22</v>
      </c>
      <c r="M174" s="7">
        <f t="shared" si="119"/>
        <v>36</v>
      </c>
      <c r="N174" s="7">
        <f t="shared" si="119"/>
        <v>21.7</v>
      </c>
      <c r="O174" s="43">
        <f t="shared" si="119"/>
        <v>13</v>
      </c>
      <c r="P174" s="43">
        <f t="shared" si="119"/>
        <v>19</v>
      </c>
      <c r="Q174" s="45">
        <f t="shared" si="119"/>
        <v>32</v>
      </c>
      <c r="R174" s="46">
        <f t="shared" si="119"/>
        <v>21</v>
      </c>
      <c r="S174" s="5">
        <f t="shared" si="119"/>
        <v>44</v>
      </c>
      <c r="T174" s="5">
        <f t="shared" si="119"/>
        <v>57</v>
      </c>
      <c r="U174" s="7">
        <f t="shared" si="119"/>
        <v>101</v>
      </c>
      <c r="V174" s="7">
        <f t="shared" si="119"/>
        <v>64.533333333333331</v>
      </c>
      <c r="W174" s="43">
        <f t="shared" si="119"/>
        <v>31</v>
      </c>
      <c r="X174" s="43">
        <f t="shared" si="119"/>
        <v>45</v>
      </c>
      <c r="Y174" s="45">
        <f t="shared" si="119"/>
        <v>76</v>
      </c>
      <c r="Z174" s="46">
        <f t="shared" si="119"/>
        <v>47.9</v>
      </c>
      <c r="AA174" s="5">
        <f t="shared" si="119"/>
        <v>123</v>
      </c>
      <c r="AB174" s="5">
        <f t="shared" si="119"/>
        <v>117</v>
      </c>
      <c r="AC174" s="7">
        <f t="shared" si="119"/>
        <v>240</v>
      </c>
      <c r="AD174" s="7">
        <f t="shared" si="119"/>
        <v>168.5</v>
      </c>
      <c r="AE174" s="43">
        <f t="shared" si="119"/>
        <v>100</v>
      </c>
      <c r="AF174" s="43">
        <f t="shared" si="119"/>
        <v>94</v>
      </c>
      <c r="AG174" s="45">
        <f t="shared" si="119"/>
        <v>194</v>
      </c>
      <c r="AH174" s="46">
        <f t="shared" si="119"/>
        <v>138.26666666666665</v>
      </c>
      <c r="AI174" s="5">
        <f t="shared" si="119"/>
        <v>380</v>
      </c>
      <c r="AJ174" s="5">
        <f t="shared" si="119"/>
        <v>259</v>
      </c>
      <c r="AK174" s="7">
        <f t="shared" si="119"/>
        <v>639</v>
      </c>
      <c r="AL174" s="7">
        <f t="shared" si="119"/>
        <v>474.40000000000003</v>
      </c>
      <c r="AM174" s="43">
        <f t="shared" si="119"/>
        <v>243</v>
      </c>
      <c r="AN174" s="43">
        <f t="shared" si="119"/>
        <v>217</v>
      </c>
      <c r="AO174" s="45">
        <f t="shared" si="119"/>
        <v>460</v>
      </c>
      <c r="AP174" s="46">
        <f t="shared" si="119"/>
        <v>330.53333333333336</v>
      </c>
      <c r="AQ174" s="5">
        <f t="shared" si="119"/>
        <v>238</v>
      </c>
      <c r="AR174" s="5">
        <f t="shared" si="119"/>
        <v>182</v>
      </c>
      <c r="AS174" s="7">
        <f t="shared" si="119"/>
        <v>420</v>
      </c>
      <c r="AT174" s="7">
        <f t="shared" si="119"/>
        <v>303.09555555555335</v>
      </c>
      <c r="AU174" s="43">
        <f t="shared" si="119"/>
        <v>305</v>
      </c>
      <c r="AV174" s="43">
        <f t="shared" si="119"/>
        <v>260</v>
      </c>
      <c r="AW174" s="45">
        <f t="shared" si="119"/>
        <v>565</v>
      </c>
      <c r="AX174" s="46">
        <f t="shared" si="119"/>
        <v>396.7</v>
      </c>
      <c r="AY174" s="5">
        <f t="shared" si="119"/>
        <v>6</v>
      </c>
      <c r="AZ174" s="5">
        <f t="shared" si="119"/>
        <v>4</v>
      </c>
      <c r="BA174" s="7">
        <f t="shared" si="119"/>
        <v>10</v>
      </c>
      <c r="BB174" s="7">
        <f t="shared" si="119"/>
        <v>7.3666666666666663</v>
      </c>
      <c r="BC174" s="43">
        <f t="shared" si="119"/>
        <v>9</v>
      </c>
      <c r="BD174" s="43">
        <f t="shared" si="119"/>
        <v>5</v>
      </c>
      <c r="BE174" s="45">
        <f t="shared" si="119"/>
        <v>14</v>
      </c>
      <c r="BF174" s="46">
        <f t="shared" si="119"/>
        <v>12.233333333333333</v>
      </c>
    </row>
    <row r="175" spans="1:58" s="8" customFormat="1" x14ac:dyDescent="0.2">
      <c r="A175" s="37"/>
      <c r="C175" s="5"/>
      <c r="D175" s="5"/>
      <c r="E175" s="7"/>
      <c r="F175" s="6"/>
      <c r="G175" s="5"/>
      <c r="H175" s="5"/>
      <c r="I175" s="7"/>
      <c r="J175" s="6"/>
      <c r="K175" s="5"/>
      <c r="L175" s="5"/>
      <c r="M175" s="7"/>
      <c r="N175" s="6"/>
      <c r="O175" s="5"/>
      <c r="P175" s="5"/>
      <c r="Q175" s="7"/>
      <c r="R175" s="6"/>
      <c r="S175" s="5"/>
      <c r="T175" s="5"/>
      <c r="U175" s="7"/>
      <c r="V175" s="6"/>
      <c r="W175" s="5"/>
      <c r="X175" s="5"/>
      <c r="Y175" s="7"/>
      <c r="Z175" s="6"/>
      <c r="AA175" s="5"/>
      <c r="AB175" s="5"/>
      <c r="AC175" s="7"/>
      <c r="AD175" s="6"/>
      <c r="AE175" s="5"/>
      <c r="AF175" s="5"/>
      <c r="AG175" s="7"/>
      <c r="AH175" s="6"/>
      <c r="AI175" s="5"/>
      <c r="AJ175" s="5"/>
      <c r="AK175" s="7"/>
      <c r="AL175" s="6"/>
      <c r="AM175" s="5"/>
      <c r="AN175" s="5"/>
      <c r="AO175" s="7"/>
      <c r="AP175" s="6"/>
      <c r="AQ175" s="5"/>
      <c r="AR175" s="5"/>
      <c r="AS175" s="7"/>
      <c r="AT175" s="6"/>
      <c r="AU175" s="5"/>
      <c r="AV175" s="5"/>
      <c r="AW175" s="7"/>
      <c r="AX175" s="6"/>
      <c r="AY175" s="5"/>
      <c r="AZ175" s="5"/>
      <c r="BA175" s="7"/>
      <c r="BB175" s="6"/>
      <c r="BC175" s="5"/>
      <c r="BD175" s="5"/>
      <c r="BE175" s="7"/>
      <c r="BF175" s="6"/>
    </row>
    <row r="176" spans="1:58" x14ac:dyDescent="0.2">
      <c r="B176" s="8"/>
      <c r="E176" s="17"/>
      <c r="J176" s="49"/>
      <c r="M176" s="17"/>
      <c r="R176" s="49"/>
      <c r="U176" s="17"/>
      <c r="Z176" s="49"/>
      <c r="AC176" s="17"/>
      <c r="AH176" s="49"/>
      <c r="AK176" s="17"/>
      <c r="AP176" s="49"/>
      <c r="AS176" s="17"/>
      <c r="AX176" s="49"/>
      <c r="BA176" s="17"/>
      <c r="BF176" s="49"/>
    </row>
    <row r="177" spans="1:58" x14ac:dyDescent="0.2">
      <c r="B177" s="8"/>
      <c r="E177" s="3" t="s">
        <v>263</v>
      </c>
      <c r="F177" s="21"/>
      <c r="I177" s="3" t="s">
        <v>264</v>
      </c>
      <c r="J177" s="6"/>
      <c r="M177" s="3" t="s">
        <v>232</v>
      </c>
      <c r="N177" s="21"/>
      <c r="Q177" s="3" t="s">
        <v>233</v>
      </c>
      <c r="R177" s="6"/>
      <c r="U177" s="3" t="s">
        <v>225</v>
      </c>
      <c r="V177" s="21"/>
      <c r="Y177" s="3" t="s">
        <v>226</v>
      </c>
      <c r="Z177" s="6"/>
      <c r="AC177" s="3" t="s">
        <v>221</v>
      </c>
      <c r="AD177" s="21"/>
      <c r="AG177" s="3" t="s">
        <v>222</v>
      </c>
      <c r="AH177" s="6"/>
      <c r="AK177" s="3" t="s">
        <v>215</v>
      </c>
      <c r="AL177" s="21"/>
      <c r="AO177" s="3" t="s">
        <v>216</v>
      </c>
      <c r="AP177" s="6"/>
      <c r="AS177" s="3" t="s">
        <v>209</v>
      </c>
      <c r="AT177" s="21"/>
      <c r="AW177" s="3" t="s">
        <v>210</v>
      </c>
      <c r="AX177" s="6"/>
      <c r="BA177" s="3" t="s">
        <v>205</v>
      </c>
      <c r="BB177" s="21"/>
      <c r="BE177" s="3" t="s">
        <v>206</v>
      </c>
      <c r="BF177" s="6"/>
    </row>
    <row r="178" spans="1:58" x14ac:dyDescent="0.2">
      <c r="B178" s="4" t="s">
        <v>2</v>
      </c>
      <c r="C178" s="2" t="s">
        <v>0</v>
      </c>
      <c r="D178" s="2" t="s">
        <v>1</v>
      </c>
      <c r="E178" s="7" t="s">
        <v>5</v>
      </c>
      <c r="F178" s="6" t="s">
        <v>6</v>
      </c>
      <c r="G178" s="2" t="s">
        <v>0</v>
      </c>
      <c r="H178" s="2" t="s">
        <v>1</v>
      </c>
      <c r="I178" s="7" t="s">
        <v>5</v>
      </c>
      <c r="J178" s="6" t="s">
        <v>6</v>
      </c>
      <c r="K178" s="2" t="s">
        <v>0</v>
      </c>
      <c r="L178" s="2" t="s">
        <v>1</v>
      </c>
      <c r="M178" s="7" t="s">
        <v>5</v>
      </c>
      <c r="N178" s="6" t="s">
        <v>6</v>
      </c>
      <c r="O178" s="2" t="s">
        <v>0</v>
      </c>
      <c r="P178" s="2" t="s">
        <v>1</v>
      </c>
      <c r="Q178" s="7" t="s">
        <v>5</v>
      </c>
      <c r="R178" s="6" t="s">
        <v>6</v>
      </c>
      <c r="S178" s="2" t="s">
        <v>0</v>
      </c>
      <c r="T178" s="2" t="s">
        <v>1</v>
      </c>
      <c r="U178" s="7" t="s">
        <v>5</v>
      </c>
      <c r="V178" s="6" t="s">
        <v>6</v>
      </c>
      <c r="W178" s="2" t="s">
        <v>0</v>
      </c>
      <c r="X178" s="2" t="s">
        <v>1</v>
      </c>
      <c r="Y178" s="7" t="s">
        <v>5</v>
      </c>
      <c r="Z178" s="6" t="s">
        <v>6</v>
      </c>
      <c r="AA178" s="2" t="s">
        <v>0</v>
      </c>
      <c r="AB178" s="2" t="s">
        <v>1</v>
      </c>
      <c r="AC178" s="7" t="s">
        <v>5</v>
      </c>
      <c r="AD178" s="6" t="s">
        <v>6</v>
      </c>
      <c r="AE178" s="2" t="s">
        <v>0</v>
      </c>
      <c r="AF178" s="2" t="s">
        <v>1</v>
      </c>
      <c r="AG178" s="7" t="s">
        <v>5</v>
      </c>
      <c r="AH178" s="6" t="s">
        <v>6</v>
      </c>
      <c r="AI178" s="2" t="s">
        <v>0</v>
      </c>
      <c r="AJ178" s="2" t="s">
        <v>1</v>
      </c>
      <c r="AK178" s="7" t="s">
        <v>5</v>
      </c>
      <c r="AL178" s="6" t="s">
        <v>6</v>
      </c>
      <c r="AM178" s="2" t="s">
        <v>0</v>
      </c>
      <c r="AN178" s="2" t="s">
        <v>1</v>
      </c>
      <c r="AO178" s="7" t="s">
        <v>5</v>
      </c>
      <c r="AP178" s="6" t="s">
        <v>6</v>
      </c>
      <c r="AQ178" s="2" t="s">
        <v>0</v>
      </c>
      <c r="AR178" s="2" t="s">
        <v>1</v>
      </c>
      <c r="AS178" s="7" t="s">
        <v>5</v>
      </c>
      <c r="AT178" s="6" t="s">
        <v>6</v>
      </c>
      <c r="AU178" s="2" t="s">
        <v>0</v>
      </c>
      <c r="AV178" s="2" t="s">
        <v>1</v>
      </c>
      <c r="AW178" s="7" t="s">
        <v>5</v>
      </c>
      <c r="AX178" s="6" t="s">
        <v>6</v>
      </c>
      <c r="AY178" s="2" t="s">
        <v>0</v>
      </c>
      <c r="AZ178" s="2" t="s">
        <v>1</v>
      </c>
      <c r="BA178" s="7" t="s">
        <v>5</v>
      </c>
      <c r="BB178" s="6" t="s">
        <v>6</v>
      </c>
      <c r="BC178" s="2" t="s">
        <v>0</v>
      </c>
      <c r="BD178" s="2" t="s">
        <v>1</v>
      </c>
      <c r="BE178" s="7" t="s">
        <v>5</v>
      </c>
      <c r="BF178" s="6" t="s">
        <v>6</v>
      </c>
    </row>
    <row r="179" spans="1:58" x14ac:dyDescent="0.2">
      <c r="A179" s="38" t="s">
        <v>203</v>
      </c>
      <c r="B179" s="11" t="s">
        <v>3</v>
      </c>
      <c r="C179" s="14">
        <v>69</v>
      </c>
      <c r="D179" s="14">
        <v>2267</v>
      </c>
      <c r="E179" s="12">
        <f>SUM(C179:D179)</f>
        <v>2336</v>
      </c>
      <c r="F179" s="22">
        <v>706.8</v>
      </c>
      <c r="G179" s="13"/>
      <c r="H179" s="13"/>
      <c r="I179" s="12">
        <f>SUM(G179:H179)</f>
        <v>0</v>
      </c>
      <c r="J179" s="24">
        <v>1099.3</v>
      </c>
      <c r="K179" s="14"/>
      <c r="L179" s="14">
        <v>2247</v>
      </c>
      <c r="M179" s="12">
        <f>SUM(K179:L179)</f>
        <v>2247</v>
      </c>
      <c r="N179" s="22">
        <f>10923.7/15</f>
        <v>728.24666666666667</v>
      </c>
      <c r="O179" s="13">
        <v>282</v>
      </c>
      <c r="P179" s="13">
        <v>2613</v>
      </c>
      <c r="Q179" s="12">
        <f>SUM(O179:P179)</f>
        <v>2895</v>
      </c>
      <c r="R179" s="24">
        <v>1099.3</v>
      </c>
      <c r="S179" s="14">
        <v>67</v>
      </c>
      <c r="T179" s="14">
        <v>1997</v>
      </c>
      <c r="U179" s="12">
        <f>SUM(S179:T179)</f>
        <v>2064</v>
      </c>
      <c r="V179" s="22">
        <f>9261.5/15</f>
        <v>617.43333333333328</v>
      </c>
      <c r="W179" s="13">
        <v>207</v>
      </c>
      <c r="X179" s="13">
        <v>2453</v>
      </c>
      <c r="Y179" s="12">
        <f>SUM(W179:X179)</f>
        <v>2660</v>
      </c>
      <c r="Z179" s="24">
        <f>15271/15</f>
        <v>1018.0666666666667</v>
      </c>
      <c r="AA179" s="14">
        <v>37</v>
      </c>
      <c r="AB179" s="14">
        <v>1959</v>
      </c>
      <c r="AC179" s="12">
        <f>SUM(AA179:AB179)</f>
        <v>1996</v>
      </c>
      <c r="AD179" s="22">
        <f>8674.9/15</f>
        <v>578.3266666666666</v>
      </c>
      <c r="AE179" s="13">
        <v>135</v>
      </c>
      <c r="AF179" s="13">
        <v>2339</v>
      </c>
      <c r="AG179" s="12">
        <f>SUM(AE179:AF179)</f>
        <v>2474</v>
      </c>
      <c r="AH179" s="24">
        <f>13118.1/15</f>
        <v>874.54000000000008</v>
      </c>
      <c r="AI179" s="14">
        <v>53</v>
      </c>
      <c r="AJ179" s="14">
        <v>1567</v>
      </c>
      <c r="AK179" s="12">
        <f>SUM(AI179:AJ179)</f>
        <v>1620</v>
      </c>
      <c r="AL179" s="22">
        <f>(7103.6)/15</f>
        <v>473.57333333333338</v>
      </c>
      <c r="AM179" s="13">
        <v>103</v>
      </c>
      <c r="AN179" s="13">
        <v>2086</v>
      </c>
      <c r="AO179" s="12">
        <f>SUM(AM179:AN179)</f>
        <v>2189</v>
      </c>
      <c r="AP179" s="24">
        <f>11116.8/15</f>
        <v>741.12</v>
      </c>
      <c r="AQ179" s="14">
        <v>64</v>
      </c>
      <c r="AR179" s="14">
        <v>1555</v>
      </c>
      <c r="AS179" s="12">
        <f>SUM(AQ179:AR179)</f>
        <v>1619</v>
      </c>
      <c r="AT179" s="22">
        <f>7089.8/15</f>
        <v>472.65333333333336</v>
      </c>
      <c r="AU179" s="13">
        <v>87</v>
      </c>
      <c r="AV179" s="13">
        <v>1846</v>
      </c>
      <c r="AW179" s="12">
        <f>SUM(AU179:AV179)</f>
        <v>1933</v>
      </c>
      <c r="AX179" s="24">
        <f>9188/15</f>
        <v>612.5333333333333</v>
      </c>
      <c r="AY179" s="14">
        <v>58</v>
      </c>
      <c r="AZ179" s="14">
        <v>1512</v>
      </c>
      <c r="BA179" s="12">
        <f>SUM(AY179:AZ179)</f>
        <v>1570</v>
      </c>
      <c r="BB179" s="22">
        <f>6713.2/15</f>
        <v>447.54666666666668</v>
      </c>
      <c r="BC179" s="13">
        <v>77</v>
      </c>
      <c r="BD179" s="13">
        <v>1723</v>
      </c>
      <c r="BE179" s="12">
        <f>SUM(BC179:BD179)</f>
        <v>1800</v>
      </c>
      <c r="BF179" s="24">
        <f>8475.5/15</f>
        <v>565.0333333333333</v>
      </c>
    </row>
    <row r="180" spans="1:58" x14ac:dyDescent="0.2">
      <c r="B180" s="16" t="s">
        <v>7</v>
      </c>
      <c r="C180" s="20">
        <f t="shared" ref="C180:J180" si="120">SUM(C179:C179)</f>
        <v>69</v>
      </c>
      <c r="D180" s="20">
        <f t="shared" si="120"/>
        <v>2267</v>
      </c>
      <c r="E180" s="15">
        <f t="shared" si="120"/>
        <v>2336</v>
      </c>
      <c r="F180" s="6">
        <f t="shared" si="120"/>
        <v>706.8</v>
      </c>
      <c r="G180" s="20">
        <f t="shared" si="120"/>
        <v>0</v>
      </c>
      <c r="H180" s="20">
        <f t="shared" si="120"/>
        <v>0</v>
      </c>
      <c r="I180" s="7">
        <f t="shared" si="120"/>
        <v>0</v>
      </c>
      <c r="J180" s="6">
        <f t="shared" si="120"/>
        <v>1099.3</v>
      </c>
      <c r="K180" s="20">
        <f t="shared" ref="K180:BF180" si="121">SUM(K179:K179)</f>
        <v>0</v>
      </c>
      <c r="L180" s="20">
        <f t="shared" si="121"/>
        <v>2247</v>
      </c>
      <c r="M180" s="15">
        <f t="shared" si="121"/>
        <v>2247</v>
      </c>
      <c r="N180" s="6">
        <f t="shared" si="121"/>
        <v>728.24666666666667</v>
      </c>
      <c r="O180" s="20">
        <f t="shared" si="121"/>
        <v>282</v>
      </c>
      <c r="P180" s="20">
        <f t="shared" si="121"/>
        <v>2613</v>
      </c>
      <c r="Q180" s="7">
        <f t="shared" si="121"/>
        <v>2895</v>
      </c>
      <c r="R180" s="6">
        <f t="shared" si="121"/>
        <v>1099.3</v>
      </c>
      <c r="S180" s="20">
        <f t="shared" si="121"/>
        <v>67</v>
      </c>
      <c r="T180" s="20">
        <f t="shared" si="121"/>
        <v>1997</v>
      </c>
      <c r="U180" s="15">
        <f t="shared" si="121"/>
        <v>2064</v>
      </c>
      <c r="V180" s="6">
        <f t="shared" si="121"/>
        <v>617.43333333333328</v>
      </c>
      <c r="W180" s="20">
        <f t="shared" si="121"/>
        <v>207</v>
      </c>
      <c r="X180" s="20">
        <f t="shared" si="121"/>
        <v>2453</v>
      </c>
      <c r="Y180" s="7">
        <f t="shared" si="121"/>
        <v>2660</v>
      </c>
      <c r="Z180" s="6">
        <f t="shared" si="121"/>
        <v>1018.0666666666667</v>
      </c>
      <c r="AA180" s="20">
        <f t="shared" si="121"/>
        <v>37</v>
      </c>
      <c r="AB180" s="20">
        <f t="shared" si="121"/>
        <v>1959</v>
      </c>
      <c r="AC180" s="15">
        <f t="shared" si="121"/>
        <v>1996</v>
      </c>
      <c r="AD180" s="6">
        <f t="shared" si="121"/>
        <v>578.3266666666666</v>
      </c>
      <c r="AE180" s="20">
        <f t="shared" si="121"/>
        <v>135</v>
      </c>
      <c r="AF180" s="20">
        <f t="shared" si="121"/>
        <v>2339</v>
      </c>
      <c r="AG180" s="7">
        <f t="shared" si="121"/>
        <v>2474</v>
      </c>
      <c r="AH180" s="6">
        <f t="shared" si="121"/>
        <v>874.54000000000008</v>
      </c>
      <c r="AI180" s="20">
        <f t="shared" si="121"/>
        <v>53</v>
      </c>
      <c r="AJ180" s="20">
        <f t="shared" si="121"/>
        <v>1567</v>
      </c>
      <c r="AK180" s="15">
        <f t="shared" si="121"/>
        <v>1620</v>
      </c>
      <c r="AL180" s="6">
        <f t="shared" si="121"/>
        <v>473.57333333333338</v>
      </c>
      <c r="AM180" s="20">
        <f t="shared" si="121"/>
        <v>103</v>
      </c>
      <c r="AN180" s="20">
        <f t="shared" si="121"/>
        <v>2086</v>
      </c>
      <c r="AO180" s="7">
        <f t="shared" si="121"/>
        <v>2189</v>
      </c>
      <c r="AP180" s="6">
        <f t="shared" si="121"/>
        <v>741.12</v>
      </c>
      <c r="AQ180" s="20">
        <f t="shared" si="121"/>
        <v>64</v>
      </c>
      <c r="AR180" s="20">
        <f t="shared" si="121"/>
        <v>1555</v>
      </c>
      <c r="AS180" s="15">
        <f t="shared" si="121"/>
        <v>1619</v>
      </c>
      <c r="AT180" s="6">
        <f t="shared" si="121"/>
        <v>472.65333333333336</v>
      </c>
      <c r="AU180" s="20">
        <f t="shared" si="121"/>
        <v>87</v>
      </c>
      <c r="AV180" s="20">
        <f t="shared" si="121"/>
        <v>1846</v>
      </c>
      <c r="AW180" s="7">
        <f t="shared" si="121"/>
        <v>1933</v>
      </c>
      <c r="AX180" s="6">
        <f t="shared" si="121"/>
        <v>612.5333333333333</v>
      </c>
      <c r="AY180" s="20">
        <f t="shared" si="121"/>
        <v>58</v>
      </c>
      <c r="AZ180" s="20">
        <f t="shared" si="121"/>
        <v>1512</v>
      </c>
      <c r="BA180" s="15">
        <f t="shared" si="121"/>
        <v>1570</v>
      </c>
      <c r="BB180" s="6">
        <f t="shared" si="121"/>
        <v>447.54666666666668</v>
      </c>
      <c r="BC180" s="20">
        <f t="shared" si="121"/>
        <v>77</v>
      </c>
      <c r="BD180" s="20">
        <f t="shared" si="121"/>
        <v>1723</v>
      </c>
      <c r="BE180" s="7">
        <f t="shared" si="121"/>
        <v>1800</v>
      </c>
      <c r="BF180" s="6">
        <f t="shared" si="121"/>
        <v>565.0333333333333</v>
      </c>
    </row>
    <row r="181" spans="1:58" x14ac:dyDescent="0.2">
      <c r="B181" s="8"/>
      <c r="C181" s="20"/>
      <c r="D181" s="20"/>
      <c r="E181" s="15"/>
      <c r="G181" s="20"/>
      <c r="H181" s="20"/>
      <c r="I181" s="26" t="s">
        <v>8</v>
      </c>
      <c r="J181" s="6">
        <f>(F180+J180)/2</f>
        <v>903.05</v>
      </c>
      <c r="K181" s="20"/>
      <c r="L181" s="20"/>
      <c r="M181" s="15"/>
      <c r="O181" s="20"/>
      <c r="P181" s="20"/>
      <c r="Q181" s="26" t="s">
        <v>8</v>
      </c>
      <c r="R181" s="6">
        <f>(N180+R180)/2</f>
        <v>913.77333333333331</v>
      </c>
      <c r="S181" s="20"/>
      <c r="T181" s="20"/>
      <c r="U181" s="15"/>
      <c r="W181" s="20"/>
      <c r="X181" s="20"/>
      <c r="Y181" s="26" t="s">
        <v>8</v>
      </c>
      <c r="Z181" s="6">
        <f>(V180+Z180)/2</f>
        <v>817.75</v>
      </c>
      <c r="AA181" s="20"/>
      <c r="AB181" s="20"/>
      <c r="AC181" s="15"/>
      <c r="AE181" s="20"/>
      <c r="AF181" s="20"/>
      <c r="AG181" s="26" t="s">
        <v>8</v>
      </c>
      <c r="AH181" s="6">
        <f>(AD180+AH180)/2</f>
        <v>726.43333333333339</v>
      </c>
      <c r="AI181" s="20"/>
      <c r="AJ181" s="20"/>
      <c r="AK181" s="15"/>
      <c r="AM181" s="20"/>
      <c r="AN181" s="20"/>
      <c r="AO181" s="26" t="s">
        <v>8</v>
      </c>
      <c r="AP181" s="6">
        <f>(AL180+AP180)/2</f>
        <v>607.34666666666669</v>
      </c>
      <c r="AQ181" s="20"/>
      <c r="AR181" s="20"/>
      <c r="AS181" s="15"/>
      <c r="AU181" s="20"/>
      <c r="AV181" s="20"/>
      <c r="AW181" s="26" t="s">
        <v>8</v>
      </c>
      <c r="AX181" s="6">
        <f>(AT180+AX180)/2</f>
        <v>542.59333333333336</v>
      </c>
      <c r="AY181" s="20"/>
      <c r="AZ181" s="20"/>
      <c r="BA181" s="15"/>
      <c r="BC181" s="20"/>
      <c r="BD181" s="20"/>
      <c r="BE181" s="26" t="s">
        <v>8</v>
      </c>
      <c r="BF181" s="6">
        <f>(BB180+BF180)/2</f>
        <v>506.28999999999996</v>
      </c>
    </row>
    <row r="182" spans="1:58" x14ac:dyDescent="0.2">
      <c r="J182" s="49"/>
      <c r="R182" s="49"/>
      <c r="Z182" s="49"/>
      <c r="AH182" s="49"/>
      <c r="AP182" s="49"/>
      <c r="AX182" s="49"/>
      <c r="BF182" s="49"/>
    </row>
    <row r="183" spans="1:58" x14ac:dyDescent="0.2">
      <c r="E183" s="3" t="s">
        <v>263</v>
      </c>
      <c r="F183" s="21"/>
      <c r="I183" s="3" t="s">
        <v>264</v>
      </c>
      <c r="J183" s="6"/>
      <c r="M183" s="3" t="str">
        <f>M3</f>
        <v>F16</v>
      </c>
      <c r="N183" s="21"/>
      <c r="Q183" s="3" t="str">
        <f>Q3</f>
        <v>S17</v>
      </c>
      <c r="R183" s="6"/>
      <c r="U183" s="3" t="str">
        <f>U3</f>
        <v>F15</v>
      </c>
      <c r="V183" s="21"/>
      <c r="Y183" s="3" t="str">
        <f>Y3</f>
        <v>S16</v>
      </c>
      <c r="Z183" s="6"/>
      <c r="AC183" s="3" t="str">
        <f>AC3</f>
        <v>F14</v>
      </c>
      <c r="AD183" s="21"/>
      <c r="AG183" s="3" t="str">
        <f>AG3</f>
        <v>S15</v>
      </c>
      <c r="AH183" s="6"/>
      <c r="AK183" s="3" t="str">
        <f>AK3</f>
        <v>F13</v>
      </c>
      <c r="AL183" s="21"/>
      <c r="AO183" s="3" t="str">
        <f>AO3</f>
        <v>S14</v>
      </c>
      <c r="AP183" s="6"/>
      <c r="AS183" s="3" t="s">
        <v>209</v>
      </c>
      <c r="AT183" s="21"/>
      <c r="AW183" s="3" t="s">
        <v>210</v>
      </c>
      <c r="AX183" s="6"/>
      <c r="BA183" s="3" t="s">
        <v>205</v>
      </c>
      <c r="BB183" s="21"/>
      <c r="BE183" s="3" t="s">
        <v>206</v>
      </c>
      <c r="BF183" s="6"/>
    </row>
    <row r="184" spans="1:58" x14ac:dyDescent="0.2">
      <c r="C184" s="2" t="s">
        <v>0</v>
      </c>
      <c r="D184" s="2" t="s">
        <v>1</v>
      </c>
      <c r="E184" s="7" t="s">
        <v>5</v>
      </c>
      <c r="F184" s="6" t="s">
        <v>6</v>
      </c>
      <c r="G184" s="2" t="s">
        <v>0</v>
      </c>
      <c r="H184" s="2" t="s">
        <v>1</v>
      </c>
      <c r="I184" s="7" t="s">
        <v>5</v>
      </c>
      <c r="J184" s="6" t="s">
        <v>6</v>
      </c>
      <c r="K184" s="2" t="s">
        <v>0</v>
      </c>
      <c r="L184" s="2" t="s">
        <v>1</v>
      </c>
      <c r="M184" s="7" t="s">
        <v>5</v>
      </c>
      <c r="N184" s="6" t="s">
        <v>6</v>
      </c>
      <c r="O184" s="2" t="s">
        <v>0</v>
      </c>
      <c r="P184" s="2" t="s">
        <v>1</v>
      </c>
      <c r="Q184" s="7" t="s">
        <v>5</v>
      </c>
      <c r="R184" s="23" t="s">
        <v>6</v>
      </c>
      <c r="S184" s="2" t="s">
        <v>0</v>
      </c>
      <c r="T184" s="2" t="s">
        <v>1</v>
      </c>
      <c r="U184" s="7" t="s">
        <v>5</v>
      </c>
      <c r="V184" s="6" t="s">
        <v>6</v>
      </c>
      <c r="W184" s="2" t="s">
        <v>0</v>
      </c>
      <c r="X184" s="2" t="s">
        <v>1</v>
      </c>
      <c r="Y184" s="7" t="s">
        <v>5</v>
      </c>
      <c r="Z184" s="23" t="s">
        <v>6</v>
      </c>
      <c r="AA184" s="2" t="s">
        <v>0</v>
      </c>
      <c r="AB184" s="2" t="s">
        <v>1</v>
      </c>
      <c r="AC184" s="7" t="s">
        <v>5</v>
      </c>
      <c r="AD184" s="6" t="s">
        <v>6</v>
      </c>
      <c r="AE184" s="2" t="s">
        <v>0</v>
      </c>
      <c r="AF184" s="2" t="s">
        <v>1</v>
      </c>
      <c r="AG184" s="7" t="s">
        <v>5</v>
      </c>
      <c r="AH184" s="23" t="s">
        <v>6</v>
      </c>
      <c r="AI184" s="2" t="s">
        <v>0</v>
      </c>
      <c r="AJ184" s="2" t="s">
        <v>1</v>
      </c>
      <c r="AK184" s="7" t="s">
        <v>5</v>
      </c>
      <c r="AL184" s="6" t="s">
        <v>6</v>
      </c>
      <c r="AM184" s="2" t="s">
        <v>0</v>
      </c>
      <c r="AN184" s="2" t="s">
        <v>1</v>
      </c>
      <c r="AO184" s="7" t="s">
        <v>5</v>
      </c>
      <c r="AP184" s="23" t="s">
        <v>6</v>
      </c>
      <c r="AQ184" s="2" t="s">
        <v>0</v>
      </c>
      <c r="AR184" s="2" t="s">
        <v>1</v>
      </c>
      <c r="AS184" s="7" t="s">
        <v>5</v>
      </c>
      <c r="AT184" s="6" t="s">
        <v>6</v>
      </c>
      <c r="AU184" s="2" t="s">
        <v>0</v>
      </c>
      <c r="AV184" s="2" t="s">
        <v>1</v>
      </c>
      <c r="AW184" s="7" t="s">
        <v>5</v>
      </c>
      <c r="AX184" s="23" t="s">
        <v>6</v>
      </c>
      <c r="AY184" s="2" t="s">
        <v>0</v>
      </c>
      <c r="AZ184" s="2" t="s">
        <v>1</v>
      </c>
      <c r="BA184" s="7" t="s">
        <v>5</v>
      </c>
      <c r="BB184" s="6" t="s">
        <v>6</v>
      </c>
      <c r="BC184" s="2" t="s">
        <v>0</v>
      </c>
      <c r="BD184" s="2" t="s">
        <v>1</v>
      </c>
      <c r="BE184" s="7" t="s">
        <v>5</v>
      </c>
      <c r="BF184" s="23" t="s">
        <v>6</v>
      </c>
    </row>
    <row r="185" spans="1:58" x14ac:dyDescent="0.2">
      <c r="B185" s="18" t="s">
        <v>4</v>
      </c>
      <c r="C185" s="19">
        <f t="shared" ref="C185:AH185" si="122">C9+C18+C33+C57+C67+C82+C92+C103+C143+C150+C165+C174+C180</f>
        <v>3322</v>
      </c>
      <c r="D185" s="19">
        <f t="shared" si="122"/>
        <v>3180</v>
      </c>
      <c r="E185" s="35">
        <f t="shared" si="122"/>
        <v>6500.7</v>
      </c>
      <c r="F185" s="44">
        <f t="shared" si="122"/>
        <v>4403.2</v>
      </c>
      <c r="G185" s="19">
        <f t="shared" si="122"/>
        <v>0</v>
      </c>
      <c r="H185" s="19">
        <f t="shared" si="122"/>
        <v>0</v>
      </c>
      <c r="I185" s="35">
        <f t="shared" si="122"/>
        <v>0</v>
      </c>
      <c r="J185" s="47">
        <f t="shared" si="122"/>
        <v>1099.3</v>
      </c>
      <c r="K185" s="19">
        <f t="shared" si="122"/>
        <v>3331</v>
      </c>
      <c r="L185" s="19">
        <f t="shared" si="122"/>
        <v>3214</v>
      </c>
      <c r="M185" s="35">
        <f t="shared" si="122"/>
        <v>6545</v>
      </c>
      <c r="N185" s="44">
        <f t="shared" si="122"/>
        <v>4485.746666666666</v>
      </c>
      <c r="O185" s="19">
        <f t="shared" si="122"/>
        <v>3121</v>
      </c>
      <c r="P185" s="19">
        <f t="shared" si="122"/>
        <v>3584</v>
      </c>
      <c r="Q185" s="35">
        <f t="shared" si="122"/>
        <v>6705</v>
      </c>
      <c r="R185" s="47">
        <f t="shared" si="122"/>
        <v>4367.5</v>
      </c>
      <c r="S185" s="19">
        <f t="shared" si="122"/>
        <v>3632</v>
      </c>
      <c r="T185" s="19">
        <f t="shared" si="122"/>
        <v>3045</v>
      </c>
      <c r="U185" s="35">
        <f t="shared" si="122"/>
        <v>6677</v>
      </c>
      <c r="V185" s="44">
        <f t="shared" si="122"/>
        <v>4630.4666666666662</v>
      </c>
      <c r="W185" s="19">
        <f t="shared" si="122"/>
        <v>3254</v>
      </c>
      <c r="X185" s="19">
        <f t="shared" si="122"/>
        <v>3401</v>
      </c>
      <c r="Y185" s="35">
        <f t="shared" si="122"/>
        <v>6655</v>
      </c>
      <c r="Z185" s="47">
        <f t="shared" si="122"/>
        <v>4474.4000000000005</v>
      </c>
      <c r="AA185" s="19">
        <f t="shared" si="122"/>
        <v>4024</v>
      </c>
      <c r="AB185" s="19">
        <f t="shared" si="122"/>
        <v>3125</v>
      </c>
      <c r="AC185" s="35">
        <f t="shared" si="122"/>
        <v>7149</v>
      </c>
      <c r="AD185" s="44">
        <f t="shared" si="122"/>
        <v>5054.8266666666677</v>
      </c>
      <c r="AE185" s="19">
        <f t="shared" si="122"/>
        <v>3545</v>
      </c>
      <c r="AF185" s="19">
        <f t="shared" si="122"/>
        <v>3422</v>
      </c>
      <c r="AG185" s="35">
        <f t="shared" si="122"/>
        <v>6967</v>
      </c>
      <c r="AH185" s="47">
        <f t="shared" si="122"/>
        <v>4725.873333333333</v>
      </c>
      <c r="AI185" s="19">
        <f t="shared" ref="AI185:BF185" si="123">AI9+AI18+AI33+AI57+AI67+AI82+AI92+AI103+AI143+AI150+AI165+AI174+AI180</f>
        <v>4616</v>
      </c>
      <c r="AJ185" s="19">
        <f t="shared" si="123"/>
        <v>2833</v>
      </c>
      <c r="AK185" s="35">
        <f t="shared" si="123"/>
        <v>7449</v>
      </c>
      <c r="AL185" s="44">
        <f t="shared" si="123"/>
        <v>5560.24</v>
      </c>
      <c r="AM185" s="19">
        <f t="shared" si="123"/>
        <v>3996</v>
      </c>
      <c r="AN185" s="19">
        <f t="shared" si="123"/>
        <v>3295</v>
      </c>
      <c r="AO185" s="35">
        <f t="shared" si="123"/>
        <v>7291</v>
      </c>
      <c r="AP185" s="47">
        <f t="shared" si="123"/>
        <v>5145.8533333333326</v>
      </c>
      <c r="AQ185" s="19">
        <f t="shared" si="123"/>
        <v>4601</v>
      </c>
      <c r="AR185" s="19">
        <f t="shared" si="123"/>
        <v>2867</v>
      </c>
      <c r="AS185" s="35">
        <f t="shared" si="123"/>
        <v>7468</v>
      </c>
      <c r="AT185" s="44">
        <f t="shared" si="123"/>
        <v>5530.3488888888878</v>
      </c>
      <c r="AU185" s="19">
        <f t="shared" si="123"/>
        <v>4283</v>
      </c>
      <c r="AV185" s="19">
        <f t="shared" si="123"/>
        <v>3227</v>
      </c>
      <c r="AW185" s="35">
        <f t="shared" si="123"/>
        <v>7510</v>
      </c>
      <c r="AX185" s="47">
        <f t="shared" si="123"/>
        <v>5328.2333333333336</v>
      </c>
      <c r="AY185" s="19">
        <f t="shared" si="123"/>
        <v>4904</v>
      </c>
      <c r="AZ185" s="19">
        <f t="shared" si="123"/>
        <v>2749</v>
      </c>
      <c r="BA185" s="35">
        <f t="shared" si="123"/>
        <v>7653</v>
      </c>
      <c r="BB185" s="44">
        <f t="shared" si="123"/>
        <v>5738.3133333333335</v>
      </c>
      <c r="BC185" s="19">
        <f t="shared" si="123"/>
        <v>4382</v>
      </c>
      <c r="BD185" s="19">
        <f t="shared" si="123"/>
        <v>3048</v>
      </c>
      <c r="BE185" s="35">
        <f t="shared" si="123"/>
        <v>7430</v>
      </c>
      <c r="BF185" s="47">
        <f t="shared" si="123"/>
        <v>5399.7000000000007</v>
      </c>
    </row>
    <row r="186" spans="1:58" x14ac:dyDescent="0.2">
      <c r="B186" s="8"/>
      <c r="C186" s="20"/>
      <c r="D186" s="20"/>
      <c r="E186" s="15"/>
      <c r="G186" s="20"/>
      <c r="H186" s="20"/>
      <c r="I186" s="26" t="s">
        <v>8</v>
      </c>
      <c r="J186" s="6">
        <f>(F185+J185)/2</f>
        <v>2751.25</v>
      </c>
      <c r="K186" s="20"/>
      <c r="L186" s="20"/>
      <c r="M186" s="15"/>
      <c r="O186" s="20"/>
      <c r="P186" s="20"/>
      <c r="Q186" s="26" t="s">
        <v>8</v>
      </c>
      <c r="R186" s="6">
        <f>(N185+R185)/2</f>
        <v>4426.623333333333</v>
      </c>
      <c r="S186" s="20"/>
      <c r="T186" s="20"/>
      <c r="U186" s="15"/>
      <c r="W186" s="20"/>
      <c r="X186" s="20"/>
      <c r="Y186" s="26" t="s">
        <v>8</v>
      </c>
      <c r="Z186" s="6">
        <f>(V185+Z185)/2</f>
        <v>4552.4333333333334</v>
      </c>
      <c r="AA186" s="20"/>
      <c r="AB186" s="20"/>
      <c r="AC186" s="15"/>
      <c r="AE186" s="20"/>
      <c r="AF186" s="20"/>
      <c r="AG186" s="26" t="s">
        <v>8</v>
      </c>
      <c r="AH186" s="6">
        <f>(AD185+AH185)/2</f>
        <v>4890.3500000000004</v>
      </c>
      <c r="AI186" s="20"/>
      <c r="AJ186" s="20"/>
      <c r="AK186" s="15"/>
      <c r="AM186" s="20"/>
      <c r="AN186" s="20"/>
      <c r="AO186" s="26" t="s">
        <v>8</v>
      </c>
      <c r="AP186" s="6">
        <f>(AL185+AP185)/2</f>
        <v>5353.0466666666662</v>
      </c>
      <c r="AQ186" s="20"/>
      <c r="AR186" s="20"/>
      <c r="AS186" s="15"/>
      <c r="AU186" s="20"/>
      <c r="AV186" s="20"/>
      <c r="AW186" s="26" t="s">
        <v>8</v>
      </c>
      <c r="AX186" s="6">
        <f>(AT185+AX185)/2</f>
        <v>5429.2911111111107</v>
      </c>
      <c r="AY186" s="20"/>
      <c r="AZ186" s="20"/>
      <c r="BA186" s="15"/>
      <c r="BC186" s="20"/>
      <c r="BD186" s="20"/>
      <c r="BE186" s="26" t="s">
        <v>8</v>
      </c>
      <c r="BF186" s="6">
        <f>(BB185+BF185)/2</f>
        <v>5569.0066666666671</v>
      </c>
    </row>
    <row r="187" spans="1:58" x14ac:dyDescent="0.2">
      <c r="J187" s="49"/>
      <c r="R187" s="49"/>
      <c r="Z187" s="49"/>
      <c r="AH187" s="49"/>
      <c r="AP187" s="49"/>
      <c r="AX187" s="49"/>
      <c r="BF187" s="49"/>
    </row>
    <row r="188" spans="1:58" x14ac:dyDescent="0.2">
      <c r="J188" s="49"/>
      <c r="R188" s="49"/>
      <c r="Z188" s="49"/>
      <c r="AH188" s="49"/>
      <c r="AP188" s="49"/>
      <c r="AX188" s="49"/>
      <c r="BF188" s="49"/>
    </row>
    <row r="189" spans="1:58" x14ac:dyDescent="0.2">
      <c r="J189" s="49"/>
      <c r="R189" s="49"/>
      <c r="Z189" s="49"/>
      <c r="AH189" s="49"/>
      <c r="AP189" s="49"/>
      <c r="AX189" s="49"/>
      <c r="BF189" s="49"/>
    </row>
    <row r="190" spans="1:58" x14ac:dyDescent="0.2">
      <c r="J190" s="49"/>
      <c r="R190" s="49"/>
      <c r="Z190" s="49"/>
      <c r="AH190" s="49"/>
      <c r="AP190" s="49"/>
      <c r="AX190" s="49"/>
      <c r="BF190" s="49"/>
    </row>
    <row r="191" spans="1:58" x14ac:dyDescent="0.2">
      <c r="J191" s="49"/>
      <c r="R191" s="49"/>
      <c r="Z191" s="49"/>
      <c r="AH191" s="49"/>
      <c r="AP191" s="49"/>
      <c r="AX191" s="49"/>
      <c r="BF191" s="49"/>
    </row>
    <row r="192" spans="1:58" x14ac:dyDescent="0.2">
      <c r="J192" s="49"/>
      <c r="R192" s="49"/>
      <c r="Z192" s="49"/>
      <c r="AH192" s="49"/>
      <c r="AP192" s="49"/>
      <c r="AX192" s="49"/>
      <c r="BF192" s="49"/>
    </row>
    <row r="193" spans="1:58" x14ac:dyDescent="0.2">
      <c r="A193" s="1"/>
      <c r="C193" s="1"/>
      <c r="D193" s="1"/>
      <c r="E193" s="1"/>
      <c r="F193" s="1"/>
      <c r="I193" s="1"/>
      <c r="J193" s="49"/>
      <c r="R193" s="49"/>
      <c r="Z193" s="49"/>
      <c r="AH193" s="49"/>
      <c r="AP193" s="49"/>
      <c r="AX193" s="49"/>
      <c r="BF193" s="49"/>
    </row>
    <row r="194" spans="1:58" x14ac:dyDescent="0.2">
      <c r="A194" s="1"/>
      <c r="C194" s="1"/>
      <c r="D194" s="1"/>
      <c r="E194" s="1"/>
      <c r="F194" s="1"/>
      <c r="I194" s="1"/>
      <c r="J194" s="49"/>
      <c r="R194" s="49"/>
      <c r="Z194" s="49"/>
      <c r="AH194" s="49"/>
      <c r="AP194" s="49"/>
      <c r="AX194" s="49"/>
      <c r="BF194" s="49"/>
    </row>
    <row r="195" spans="1:58" x14ac:dyDescent="0.2">
      <c r="A195" s="1"/>
      <c r="C195" s="1"/>
      <c r="D195" s="1"/>
      <c r="E195" s="1"/>
      <c r="F195" s="1"/>
      <c r="I195" s="1"/>
      <c r="J195" s="49"/>
      <c r="R195" s="49"/>
      <c r="Z195" s="49"/>
      <c r="AH195" s="49"/>
      <c r="AP195" s="49"/>
      <c r="AX195" s="49"/>
      <c r="BF195" s="49"/>
    </row>
    <row r="196" spans="1:58" x14ac:dyDescent="0.2">
      <c r="A196" s="1"/>
      <c r="C196" s="1"/>
      <c r="D196" s="1"/>
      <c r="E196" s="1"/>
      <c r="F196" s="1"/>
      <c r="I196" s="1"/>
      <c r="J196" s="49"/>
      <c r="R196" s="49"/>
      <c r="Z196" s="49"/>
      <c r="AH196" s="49"/>
      <c r="AP196" s="49"/>
      <c r="AX196" s="49"/>
      <c r="BF196" s="49"/>
    </row>
    <row r="197" spans="1:58" x14ac:dyDescent="0.2">
      <c r="A197" s="1"/>
      <c r="C197" s="1"/>
      <c r="D197" s="1"/>
      <c r="E197" s="1"/>
      <c r="F197" s="1"/>
      <c r="I197" s="1"/>
      <c r="J197" s="49"/>
      <c r="R197" s="49"/>
      <c r="Z197" s="49"/>
      <c r="AH197" s="49"/>
      <c r="AP197" s="49"/>
      <c r="AX197" s="49"/>
      <c r="BF197" s="49"/>
    </row>
    <row r="198" spans="1:58" x14ac:dyDescent="0.2">
      <c r="A198" s="1"/>
      <c r="C198" s="1"/>
      <c r="D198" s="1"/>
      <c r="E198" s="1"/>
      <c r="F198" s="1"/>
      <c r="I198" s="1"/>
      <c r="J198" s="49"/>
      <c r="R198" s="49"/>
      <c r="Z198" s="49"/>
      <c r="AH198" s="49"/>
      <c r="AP198" s="49"/>
      <c r="AX198" s="49"/>
      <c r="BF198" s="49"/>
    </row>
    <row r="199" spans="1:58" x14ac:dyDescent="0.2">
      <c r="A199" s="1"/>
      <c r="C199" s="1"/>
      <c r="D199" s="1"/>
      <c r="E199" s="1"/>
      <c r="F199" s="1"/>
      <c r="I199" s="1"/>
      <c r="J199" s="49"/>
      <c r="R199" s="49"/>
      <c r="Z199" s="49"/>
      <c r="AH199" s="49"/>
      <c r="AP199" s="49"/>
      <c r="AX199" s="49"/>
      <c r="BF199" s="49"/>
    </row>
    <row r="200" spans="1:58" x14ac:dyDescent="0.2">
      <c r="A200" s="1"/>
      <c r="C200" s="1"/>
      <c r="D200" s="1"/>
      <c r="E200" s="1"/>
      <c r="F200" s="1"/>
      <c r="I200" s="1"/>
      <c r="J200" s="49"/>
      <c r="R200" s="49"/>
      <c r="Z200" s="49"/>
      <c r="AH200" s="49"/>
      <c r="AP200" s="49"/>
      <c r="AX200" s="49"/>
      <c r="BF200" s="49"/>
    </row>
    <row r="201" spans="1:58" x14ac:dyDescent="0.2">
      <c r="A201" s="1"/>
      <c r="C201" s="1"/>
      <c r="D201" s="1"/>
      <c r="E201" s="1"/>
      <c r="F201" s="1"/>
      <c r="I201" s="1"/>
      <c r="J201" s="49"/>
      <c r="R201" s="49"/>
      <c r="Z201" s="49"/>
      <c r="AH201" s="49"/>
      <c r="AP201" s="49"/>
      <c r="AX201" s="49"/>
      <c r="BF201" s="49"/>
    </row>
    <row r="202" spans="1:58" x14ac:dyDescent="0.2">
      <c r="A202" s="1"/>
      <c r="C202" s="1"/>
      <c r="D202" s="1"/>
      <c r="E202" s="1"/>
      <c r="F202" s="1"/>
      <c r="I202" s="1"/>
      <c r="J202" s="49"/>
      <c r="R202" s="49"/>
      <c r="Z202" s="49"/>
      <c r="AH202" s="49"/>
      <c r="AP202" s="49"/>
      <c r="AX202" s="49"/>
      <c r="BF202" s="49"/>
    </row>
    <row r="203" spans="1:58" x14ac:dyDescent="0.2">
      <c r="A203" s="1"/>
      <c r="C203" s="1"/>
      <c r="D203" s="1"/>
      <c r="E203" s="1"/>
      <c r="F203" s="1"/>
      <c r="I203" s="1"/>
      <c r="J203" s="49"/>
      <c r="R203" s="49"/>
      <c r="Z203" s="49"/>
      <c r="AH203" s="49"/>
      <c r="AP203" s="49"/>
      <c r="AX203" s="49"/>
      <c r="BF203" s="49"/>
    </row>
    <row r="204" spans="1:58" x14ac:dyDescent="0.2">
      <c r="A204" s="1"/>
      <c r="C204" s="1"/>
      <c r="D204" s="1"/>
      <c r="E204" s="1"/>
      <c r="F204" s="1"/>
      <c r="I204" s="1"/>
      <c r="J204" s="49"/>
      <c r="R204" s="49"/>
      <c r="Z204" s="49"/>
      <c r="AH204" s="49"/>
      <c r="AP204" s="49"/>
      <c r="AX204" s="49"/>
      <c r="BF204" s="49"/>
    </row>
    <row r="205" spans="1:58" x14ac:dyDescent="0.2">
      <c r="A205" s="1"/>
      <c r="C205" s="1"/>
      <c r="D205" s="1"/>
      <c r="E205" s="1"/>
      <c r="F205" s="1"/>
      <c r="I205" s="1"/>
      <c r="J205" s="49"/>
      <c r="R205" s="49"/>
      <c r="Z205" s="49"/>
      <c r="AH205" s="49"/>
      <c r="AP205" s="49"/>
      <c r="AX205" s="49"/>
      <c r="BF205" s="49"/>
    </row>
    <row r="206" spans="1:58" x14ac:dyDescent="0.2">
      <c r="A206" s="1"/>
      <c r="C206" s="1"/>
      <c r="D206" s="1"/>
      <c r="E206" s="1"/>
      <c r="F206" s="1"/>
      <c r="I206" s="1"/>
      <c r="J206" s="49"/>
      <c r="R206" s="49"/>
      <c r="Z206" s="49"/>
      <c r="AH206" s="49"/>
      <c r="AP206" s="49"/>
      <c r="AX206" s="49"/>
      <c r="BF206" s="49"/>
    </row>
    <row r="207" spans="1:58" x14ac:dyDescent="0.2">
      <c r="A207" s="1"/>
      <c r="C207" s="1"/>
      <c r="D207" s="1"/>
      <c r="E207" s="1"/>
      <c r="F207" s="1"/>
      <c r="I207" s="1"/>
      <c r="J207" s="49"/>
      <c r="R207" s="49"/>
      <c r="Z207" s="49"/>
      <c r="AH207" s="49"/>
      <c r="AP207" s="49"/>
      <c r="AX207" s="49"/>
      <c r="BF207" s="49"/>
    </row>
    <row r="208" spans="1:58" x14ac:dyDescent="0.2">
      <c r="A208" s="1"/>
      <c r="C208" s="1"/>
      <c r="D208" s="1"/>
      <c r="E208" s="1"/>
      <c r="F208" s="1"/>
      <c r="I208" s="1"/>
      <c r="J208" s="49"/>
      <c r="R208" s="49"/>
      <c r="Z208" s="49"/>
      <c r="AH208" s="49"/>
      <c r="AP208" s="49"/>
      <c r="AX208" s="49"/>
      <c r="BF208" s="49"/>
    </row>
    <row r="209" spans="1:58" x14ac:dyDescent="0.2">
      <c r="A209" s="1"/>
      <c r="C209" s="1"/>
      <c r="D209" s="1"/>
      <c r="E209" s="1"/>
      <c r="F209" s="1"/>
      <c r="I209" s="1"/>
      <c r="J209" s="49"/>
      <c r="R209" s="49"/>
      <c r="Z209" s="49"/>
      <c r="AH209" s="49"/>
      <c r="AP209" s="49"/>
      <c r="AX209" s="49"/>
      <c r="BF209" s="4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Radlowski</dc:creator>
  <cp:lastModifiedBy>Windows User</cp:lastModifiedBy>
  <cp:lastPrinted>2018-06-25T17:59:02Z</cp:lastPrinted>
  <dcterms:created xsi:type="dcterms:W3CDTF">2004-08-26T18:40:09Z</dcterms:created>
  <dcterms:modified xsi:type="dcterms:W3CDTF">2018-06-26T12:58:59Z</dcterms:modified>
</cp:coreProperties>
</file>